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adlimitní řízení 2021\Kasárna\23.02.2021 setkání s fin. ústavy\3. Hamáček - podklady\"/>
    </mc:Choice>
  </mc:AlternateContent>
  <xr:revisionPtr revIDLastSave="0" documentId="13_ncr:1_{2752D706-42DD-471E-A444-16747E434216}" xr6:coauthVersionLast="46" xr6:coauthVersionMax="46" xr10:uidLastSave="{00000000-0000-0000-0000-000000000000}"/>
  <workbookProtection workbookAlgorithmName="SHA-512" workbookHashValue="yleKN2imLKm6G864j+Io8Em7/9nx4UNcP/L6LIHhzkQl+PKVt+kjxA/a+ga703KgrQDOTu7WWdrytNN4wd1z6w==" workbookSaltValue="aCUDteiIKWxO/Y7W6lq/hw==" workbookSpinCount="100000" lockStructure="1"/>
  <bookViews>
    <workbookView xWindow="-120" yWindow="-120" windowWidth="29040" windowHeight="15840" xr2:uid="{F481B221-A606-442A-A7AD-57A16B871FFA}"/>
  </bookViews>
  <sheets>
    <sheet name="Celkový přehled" sheetId="4" r:id="rId1"/>
    <sheet name="Náklady a výnosy" sheetId="1" r:id="rId2"/>
    <sheet name="Úvěr" sheetId="2" r:id="rId3"/>
    <sheet name="Náklady nad rámec" sheetId="5" r:id="rId4"/>
    <sheet name="Prodej pozemků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48" i="2"/>
  <c r="C70" i="1"/>
  <c r="D14" i="5"/>
  <c r="C23" i="5"/>
  <c r="B9" i="5"/>
  <c r="I7" i="5" s="1"/>
  <c r="I8" i="5" s="1"/>
  <c r="B22" i="5" s="1"/>
  <c r="C22" i="5" s="1"/>
  <c r="D12" i="5"/>
  <c r="C12" i="5" s="1"/>
  <c r="D7" i="2"/>
  <c r="C10" i="4"/>
  <c r="B14" i="5" l="1"/>
  <c r="C14" i="5" s="1"/>
  <c r="B16" i="5"/>
  <c r="C16" i="5" s="1"/>
  <c r="B20" i="5"/>
  <c r="C20" i="5" s="1"/>
  <c r="B17" i="5"/>
  <c r="C17" i="5" s="1"/>
  <c r="B21" i="5"/>
  <c r="C21" i="5" s="1"/>
  <c r="B18" i="5"/>
  <c r="C18" i="5" s="1"/>
  <c r="B15" i="5"/>
  <c r="C15" i="5" s="1"/>
  <c r="B19" i="5"/>
  <c r="C19" i="5" s="1"/>
  <c r="C30" i="1"/>
  <c r="C48" i="1"/>
  <c r="C28" i="1"/>
  <c r="C47" i="1"/>
  <c r="C11" i="1"/>
  <c r="C10" i="1"/>
  <c r="C49" i="1"/>
  <c r="C8" i="3"/>
  <c r="C64" i="1" s="1"/>
  <c r="C3" i="3"/>
  <c r="C65" i="1" s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7" i="2"/>
  <c r="C7" i="2" s="1"/>
  <c r="C12" i="1"/>
  <c r="C25" i="5" l="1"/>
  <c r="C22" i="4" s="1"/>
  <c r="C78" i="1"/>
  <c r="C7" i="4" s="1"/>
  <c r="C71" i="1"/>
  <c r="C72" i="1"/>
  <c r="C11" i="4" s="1"/>
  <c r="C51" i="1"/>
  <c r="C52" i="1"/>
  <c r="C14" i="4" s="1"/>
  <c r="B47" i="2"/>
  <c r="C8" i="2"/>
  <c r="C19" i="4" l="1"/>
  <c r="C29" i="4"/>
  <c r="C12" i="4"/>
  <c r="C23" i="4" s="1"/>
  <c r="C4" i="4"/>
  <c r="D8" i="2"/>
  <c r="C9" i="2"/>
  <c r="C10" i="2" l="1"/>
  <c r="D9" i="2"/>
  <c r="C11" i="2" l="1"/>
  <c r="D10" i="2"/>
  <c r="C12" i="2" l="1"/>
  <c r="D11" i="2"/>
  <c r="C13" i="2" l="1"/>
  <c r="D12" i="2"/>
  <c r="C14" i="2" l="1"/>
  <c r="D13" i="2"/>
  <c r="C15" i="2" l="1"/>
  <c r="D14" i="2"/>
  <c r="C16" i="2" l="1"/>
  <c r="D15" i="2"/>
  <c r="C17" i="2" l="1"/>
  <c r="D16" i="2"/>
  <c r="C18" i="2" l="1"/>
  <c r="D17" i="2"/>
  <c r="C19" i="2" l="1"/>
  <c r="D18" i="2"/>
  <c r="C20" i="2" l="1"/>
  <c r="D19" i="2"/>
  <c r="C21" i="2" l="1"/>
  <c r="D20" i="2"/>
  <c r="C22" i="2" l="1"/>
  <c r="D21" i="2"/>
  <c r="C23" i="2" l="1"/>
  <c r="D22" i="2"/>
  <c r="C24" i="2" l="1"/>
  <c r="D23" i="2"/>
  <c r="C25" i="2" l="1"/>
  <c r="D24" i="2"/>
  <c r="C26" i="2" l="1"/>
  <c r="D25" i="2"/>
  <c r="C27" i="2" l="1"/>
  <c r="D26" i="2"/>
  <c r="C28" i="2" l="1"/>
  <c r="D27" i="2"/>
  <c r="C29" i="2" l="1"/>
  <c r="D28" i="2"/>
  <c r="C30" i="2" l="1"/>
  <c r="D29" i="2"/>
  <c r="C31" i="2" l="1"/>
  <c r="D30" i="2"/>
  <c r="C32" i="2" l="1"/>
  <c r="D31" i="2"/>
  <c r="C33" i="2" l="1"/>
  <c r="D32" i="2"/>
  <c r="C34" i="2" l="1"/>
  <c r="D33" i="2"/>
  <c r="C35" i="2" l="1"/>
  <c r="D34" i="2"/>
  <c r="C36" i="2" l="1"/>
  <c r="D35" i="2"/>
  <c r="C37" i="2" l="1"/>
  <c r="D36" i="2"/>
  <c r="C38" i="2" l="1"/>
  <c r="D37" i="2"/>
  <c r="C39" i="2" l="1"/>
  <c r="D38" i="2"/>
  <c r="C40" i="2" l="1"/>
  <c r="D39" i="2"/>
  <c r="C41" i="2" l="1"/>
  <c r="D40" i="2"/>
  <c r="C42" i="2" l="1"/>
  <c r="D41" i="2"/>
  <c r="C43" i="2" l="1"/>
  <c r="D42" i="2"/>
  <c r="C44" i="2" l="1"/>
  <c r="D43" i="2"/>
  <c r="C45" i="2" l="1"/>
  <c r="D44" i="2"/>
  <c r="C46" i="2" l="1"/>
  <c r="D46" i="2" s="1"/>
  <c r="D45" i="2"/>
  <c r="D47" i="2" l="1"/>
  <c r="D49" i="2" s="1"/>
  <c r="C55" i="1" s="1"/>
  <c r="C57" i="1" l="1"/>
  <c r="C77" i="1" s="1"/>
  <c r="C15" i="4"/>
  <c r="C16" i="4" s="1"/>
  <c r="C3" i="4" l="1"/>
  <c r="C24" i="4" s="1"/>
  <c r="C8" i="4" l="1"/>
  <c r="C5" i="4"/>
  <c r="C25" i="4" l="1"/>
  <c r="C28" i="4"/>
  <c r="C18" i="4"/>
  <c r="C20" i="4" s="1"/>
  <c r="C27" i="4"/>
  <c r="C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Hamáček Petr</author>
    <author>Petr</author>
  </authors>
  <commentList>
    <comment ref="C4" authorId="0" shapeId="0" xr:uid="{BC6B4325-4ADD-46C5-99F3-97A23DAD8A99}">
      <text>
        <r>
          <rPr>
            <b/>
            <sz val="9"/>
            <color indexed="81"/>
            <rFont val="Tahoma"/>
            <family val="2"/>
            <charset val="238"/>
          </rPr>
          <t>Hamáček Petr:</t>
        </r>
        <r>
          <rPr>
            <sz val="9"/>
            <color indexed="81"/>
            <rFont val="Tahoma"/>
            <family val="2"/>
            <charset val="238"/>
          </rPr>
          <t xml:space="preserve">
předpoklad cen: 100000 bourání garáže, 150000 plot, doplatek dle směnné smlouvy městu 51800
</t>
        </r>
      </text>
    </comment>
    <comment ref="C5" authorId="1" shapeId="0" xr:uid="{D53BA523-9A12-44AF-AECD-853AB506CF88}">
      <text>
        <r>
          <rPr>
            <b/>
            <sz val="9"/>
            <color indexed="81"/>
            <rFont val="Tahoma"/>
            <family val="2"/>
            <charset val="238"/>
          </rPr>
          <t>Petr:</t>
        </r>
        <r>
          <rPr>
            <sz val="9"/>
            <color indexed="81"/>
            <rFont val="Tahoma"/>
            <family val="2"/>
            <charset val="238"/>
          </rPr>
          <t xml:space="preserve">
Samotná kupní cena pozemku je 40000 Kč</t>
        </r>
      </text>
    </comment>
    <comment ref="B55" authorId="0" shapeId="0" xr:uid="{19DFF07A-36F4-479D-BBF5-F994488360A4}">
      <text>
        <r>
          <rPr>
            <b/>
            <sz val="9"/>
            <color indexed="81"/>
            <rFont val="Tahoma"/>
            <family val="2"/>
            <charset val="238"/>
          </rPr>
          <t>Hamáček Petr:</t>
        </r>
        <r>
          <rPr>
            <sz val="9"/>
            <color indexed="81"/>
            <rFont val="Tahoma"/>
            <family val="2"/>
            <charset val="238"/>
          </rPr>
          <t xml:space="preserve">
Výše úvěru dle listu Úvěr</t>
        </r>
      </text>
    </comment>
    <comment ref="C69" authorId="0" shapeId="0" xr:uid="{2878AE92-EDD3-4F9E-A4A5-A53B88A27152}">
      <text>
        <r>
          <rPr>
            <b/>
            <sz val="9"/>
            <color indexed="81"/>
            <rFont val="Tahoma"/>
            <family val="2"/>
            <charset val="238"/>
          </rPr>
          <t>Hamáček Petr:</t>
        </r>
        <r>
          <rPr>
            <sz val="9"/>
            <color indexed="81"/>
            <rFont val="Tahoma"/>
            <family val="2"/>
            <charset val="238"/>
          </rPr>
          <t xml:space="preserve">
Nájem stanovený smluvně počítano období 20 let - 151 519 Kč, bude však pravděpodobně navýšen oproti současné smlouvě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Hamáček Petr</author>
  </authors>
  <commentList>
    <comment ref="A12" authorId="0" shapeId="0" xr:uid="{A183579F-2ED5-46D0-9EA6-AA22E5E1A42F}">
      <text>
        <r>
          <rPr>
            <b/>
            <sz val="9"/>
            <color indexed="81"/>
            <rFont val="Tahoma"/>
            <family val="2"/>
            <charset val="238"/>
          </rPr>
          <t>Hamáček Petr:</t>
        </r>
        <r>
          <rPr>
            <sz val="9"/>
            <color indexed="81"/>
            <rFont val="Tahoma"/>
            <family val="2"/>
            <charset val="238"/>
          </rPr>
          <t xml:space="preserve">
Bude sloužit pro odkanalizování velké části Soudné a části Sedliček i v místech kde kanalizace nyní není</t>
        </r>
      </text>
    </comment>
    <comment ref="A23" authorId="0" shapeId="0" xr:uid="{F1C9909A-F338-41F4-9183-57EA5B12243F}">
      <text>
        <r>
          <rPr>
            <b/>
            <sz val="9"/>
            <color indexed="81"/>
            <rFont val="Tahoma"/>
            <family val="2"/>
            <charset val="238"/>
          </rPr>
          <t>Hamáček Petr:</t>
        </r>
        <r>
          <rPr>
            <sz val="9"/>
            <color indexed="81"/>
            <rFont val="Tahoma"/>
            <family val="2"/>
            <charset val="238"/>
          </rPr>
          <t xml:space="preserve">
Objekty dle PD: 301, 302, 501, 502, 503, 810</t>
        </r>
      </text>
    </comment>
  </commentList>
</comments>
</file>

<file path=xl/sharedStrings.xml><?xml version="1.0" encoding="utf-8"?>
<sst xmlns="http://schemas.openxmlformats.org/spreadsheetml/2006/main" count="233" uniqueCount="175">
  <si>
    <t>Přehled předpokládaných nákladů a výnosů revitalizace lokality Kasárna se znalostí ke dni 5.1.2021</t>
  </si>
  <si>
    <t>Náklady:</t>
  </si>
  <si>
    <t>Architektonická soutěž</t>
  </si>
  <si>
    <t>Územní studie Kasárna</t>
  </si>
  <si>
    <t>Průzkumy</t>
  </si>
  <si>
    <t>PD Jičín – zajištění připojovacího bodu pro odkanalizování areálu kasáren</t>
  </si>
  <si>
    <t>PD Demolice objektu garáží na p.č. st. 3631, k.ú. Jičín</t>
  </si>
  <si>
    <t>Přechod kanalizace přes silnici II/286</t>
  </si>
  <si>
    <t>Chodník mezi ulicí XY a Štrauchovou</t>
  </si>
  <si>
    <t>Chodník na rohu ulic Jaselská a Skautská</t>
  </si>
  <si>
    <t>Pozemky pro kanalizaci v Soudné</t>
  </si>
  <si>
    <t>Věcné břemeno pro kanalizaci</t>
  </si>
  <si>
    <t>Výkup pozemku od SPÚ</t>
  </si>
  <si>
    <t>Demolice objektu garáží</t>
  </si>
  <si>
    <t>Prodej stávajících budov kasáren firmě Senecura</t>
  </si>
  <si>
    <t>Prodej pozemku v Soudné KHK</t>
  </si>
  <si>
    <t>Prodej pozemků pro výstavbu rodinných domů</t>
  </si>
  <si>
    <t>Prodej pozemků pro výstavbu bytových domů</t>
  </si>
  <si>
    <t>Výstavba:</t>
  </si>
  <si>
    <t>Výnosy:</t>
  </si>
  <si>
    <t>Prodej pozemků a budov:</t>
  </si>
  <si>
    <t>1.</t>
  </si>
  <si>
    <t>2.</t>
  </si>
  <si>
    <t>3.</t>
  </si>
  <si>
    <t>4.</t>
  </si>
  <si>
    <t>5.</t>
  </si>
  <si>
    <t>6.</t>
  </si>
  <si>
    <t>7.</t>
  </si>
  <si>
    <t>PD Kasárna Jičín - výstavba tech. a dopr. infrastruktury a veřejných prostranství</t>
  </si>
  <si>
    <t>Dopr. a tech. infrastruktura a veř. Prostr.</t>
  </si>
  <si>
    <t>Připojovací bod pro odkanal. areálu kas.</t>
  </si>
  <si>
    <t>PD Komunikace ul. Československé armády (ul. Bolzanova - ul. Argonská)</t>
  </si>
  <si>
    <t>Komunikace ul. Československé armády (ul. Bolzanova - ul. Argonská)</t>
  </si>
  <si>
    <t>Výstavba teplovodu a přípojek pro lokalitu Kasárna</t>
  </si>
  <si>
    <t>8.</t>
  </si>
  <si>
    <t>9.</t>
  </si>
  <si>
    <t>Studie rodinných a bytových domů</t>
  </si>
  <si>
    <t>Pronájem budov Senecuře</t>
  </si>
  <si>
    <t>Financování</t>
  </si>
  <si>
    <t>PD - rozdělení objektu Kosmonautů 834</t>
  </si>
  <si>
    <t>Doplatek za směnu se soudem</t>
  </si>
  <si>
    <t>Rozdělení budovy Komonautů 834 pro směnu s Okresním soudem</t>
  </si>
  <si>
    <t>Celkem</t>
  </si>
  <si>
    <t>Úvěr:</t>
  </si>
  <si>
    <t>splácení čtvrtletně po dobu 10 let</t>
  </si>
  <si>
    <t>Splátka</t>
  </si>
  <si>
    <t>Poř. Číslo</t>
  </si>
  <si>
    <t>Zaplacený úrok</t>
  </si>
  <si>
    <t>Úroková sazba roční: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</si>
  <si>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</si>
  <si>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</si>
  <si>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</si>
  <si>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</si>
  <si>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</si>
  <si>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</si>
  <si>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</si>
  <si>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</si>
  <si>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</si>
  <si>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</si>
  <si>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</si>
  <si>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</si>
  <si>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</si>
  <si>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</si>
  <si>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</si>
  <si>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</si>
  <si>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</si>
  <si>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</si>
  <si>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</si>
  <si>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</si>
  <si>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</si>
  <si>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</si>
  <si>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</si>
  <si>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</si>
  <si>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</si>
  <si>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</si>
  <si>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</si>
  <si>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</si>
  <si>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</si>
  <si>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</si>
  <si>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</si>
  <si>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Pozemky pro bytové domy</t>
  </si>
  <si>
    <t>Pozemky pro rodinné domy</t>
  </si>
  <si>
    <t>Plocha pro prodej</t>
  </si>
  <si>
    <t>Cena za m2</t>
  </si>
  <si>
    <t>Celková cena</t>
  </si>
  <si>
    <t>Celkové náklady</t>
  </si>
  <si>
    <t>Již zaplaceno</t>
  </si>
  <si>
    <t>Demolice objektů kasáren</t>
  </si>
  <si>
    <t>Demolice objektů kasáren II</t>
  </si>
  <si>
    <t>Zbývá uhradit:</t>
  </si>
  <si>
    <t>Budoucí výnosy</t>
  </si>
  <si>
    <t>Celkové výnosy:</t>
  </si>
  <si>
    <t>Zaplaceno</t>
  </si>
  <si>
    <t>Zbývá uhradit</t>
  </si>
  <si>
    <t>Náklady z úvěru:</t>
  </si>
  <si>
    <t>Budoucí realizační náklady:</t>
  </si>
  <si>
    <t>Celkově zaplaceno</t>
  </si>
  <si>
    <t>Celkově zbývá uhradit</t>
  </si>
  <si>
    <t>Celkové budoucí realizační náklady:</t>
  </si>
  <si>
    <t>Rozdíl mezi výnosy a náklady:</t>
  </si>
  <si>
    <t>Z rozdílu již uhrazeno</t>
  </si>
  <si>
    <t>Kontrola PD před vypsáním veřejné zakázky</t>
  </si>
  <si>
    <t>Dotace na demolici objektů kasáren</t>
  </si>
  <si>
    <t>Přeložka VN Trafo kasárna</t>
  </si>
  <si>
    <t>Přeložka VN U nemocnice</t>
  </si>
  <si>
    <t>Uložení teplovodu</t>
  </si>
  <si>
    <t xml:space="preserve">Městský mobiliář - Cuboid </t>
  </si>
  <si>
    <t>Věcná břemena ČEZ odhad 200 Kč/ běžný metr</t>
  </si>
  <si>
    <t>Celkové náklady výstavby</t>
  </si>
  <si>
    <t>Rozvody plynu předpoklad odkupu</t>
  </si>
  <si>
    <t>Náklady nad rámec nutných</t>
  </si>
  <si>
    <t>Čsl. Armády úsek Bolzanova - Argonská</t>
  </si>
  <si>
    <t>Argonská ulice</t>
  </si>
  <si>
    <t>Štrauchova</t>
  </si>
  <si>
    <t>Soudná</t>
  </si>
  <si>
    <t>Skautská</t>
  </si>
  <si>
    <t>Podíl</t>
  </si>
  <si>
    <t>Čsl. Armády - úsek v Soudné</t>
  </si>
  <si>
    <t>Náklady nad rámec nutného</t>
  </si>
  <si>
    <t>Zaměření</t>
  </si>
  <si>
    <t>ĆEZ - Rezervace výkonu 50% zaplaceno předem</t>
  </si>
  <si>
    <t>ČEZ - Rezervace výkonu 50% až po realizaci</t>
  </si>
  <si>
    <t>bez výplně</t>
  </si>
  <si>
    <t>Výkup nemovitostí</t>
  </si>
  <si>
    <t>pevná cena</t>
  </si>
  <si>
    <t>předpoklad dle PD, či odborného odhadu</t>
  </si>
  <si>
    <t>Výše jistiny</t>
  </si>
  <si>
    <t>TERÉNNÍ ÚPRAVY - ZEMNÍ PRÁCE</t>
  </si>
  <si>
    <t>TERÉNNÍ ÚPRAVY</t>
  </si>
  <si>
    <t>SPLAŠKOVÁ KANALIZACE</t>
  </si>
  <si>
    <t>DEŠŤOVÁ KANALIZACE</t>
  </si>
  <si>
    <t>PŘÍPOJKY SPLAŠKOVÉ KANALIZACE</t>
  </si>
  <si>
    <t>PŘÍPOJKY DEŠŤOVÉ KANALIZACE</t>
  </si>
  <si>
    <t>METROPOLITNÍ OPTICKÁ SÍŤ</t>
  </si>
  <si>
    <t>Celkem rekonstruováno nebo vystavěno komunikací v rámci projektu výstavby infrastruktury dle TZ PD:</t>
  </si>
  <si>
    <t>Části ulic nad rámec:</t>
  </si>
  <si>
    <t>Podíl:</t>
  </si>
  <si>
    <t>NOVÉ ROZVODY VO</t>
  </si>
  <si>
    <t>Ostatní pol. - zeleň, přepojení přípojek</t>
  </si>
  <si>
    <t>Zajištění připojovacího bodu</t>
  </si>
  <si>
    <t>Celková náklady:</t>
  </si>
  <si>
    <t>Technický dozor stavby odhad</t>
  </si>
  <si>
    <t>Položky byly doplněny podle nejlepšího vědomí a svědomí a po konzultaci s odbornými pracovníky úřadu, nicméně je možné, že nějaká položka mohla být opomenuta, jak na straně příjmové tak výdajové.</t>
  </si>
  <si>
    <t>Příprava PD, Studie, Průzkumy</t>
  </si>
  <si>
    <t>Část rekonstrukce nebo výstavby nad rámec samotné revitalizace</t>
  </si>
  <si>
    <t>Celkové náklady přípravy:</t>
  </si>
  <si>
    <t>Příprava:</t>
  </si>
  <si>
    <t>Celkem výkup nemovitostí</t>
  </si>
  <si>
    <t>Celkový předpoklad výnosů:</t>
  </si>
  <si>
    <t>Rozdíl nákladů a výnosů:</t>
  </si>
  <si>
    <t>Již přijato</t>
  </si>
  <si>
    <t>Bude přijato</t>
  </si>
  <si>
    <t>Celkové náklady revitalizace:</t>
  </si>
  <si>
    <t>Předpokládané výnosy revitalizace:</t>
  </si>
  <si>
    <t>Rozdíl mezi náklady a výnosy:</t>
  </si>
  <si>
    <t>Z nákladů uhrazeno do 31.12.2020</t>
  </si>
  <si>
    <t>Z výnosů přijato do 31.12.2020</t>
  </si>
  <si>
    <t>Úroky z úvěru xxx mil. Kč na 10 let</t>
  </si>
  <si>
    <t>Všechna zadaná čísla na dalších listech se zeleným podbarvením jsou skutečně zaplacené nebo smluvně zajištěné příjmy nebo výdaje.</t>
  </si>
  <si>
    <t>V Jičíně dne 27.1.2021, Petr Hamáček</t>
  </si>
  <si>
    <t>Poplatky celkem:</t>
  </si>
  <si>
    <t>Náklady úvěru:</t>
  </si>
  <si>
    <t>Výsledek projektu bez nákladů nad rámec:</t>
  </si>
  <si>
    <t>Budoucí cena revitalizace bez nákladů nad rámec:</t>
  </si>
  <si>
    <t>Měsíční poplatek:</t>
  </si>
  <si>
    <t>Náklady nad rámec celkem</t>
  </si>
  <si>
    <t>Cena podílu</t>
  </si>
  <si>
    <t>Při posuzování celého projektu by měl uživatel tohoto ekonomického modelu vzít v potaz, že primárním cílem projektu nebylo vytvořit okamžitý zisk, ale revitalizovat lokalitu kasáren s i s celým přilehlým okolím.</t>
  </si>
  <si>
    <t>Všechna čísla podbarvená bíle vychází z údajů projektových dokumentací, kvalifikovaných odhadů či předpokládajích smluvních ujednání a samozřejmě jejich definitivní hodnota se bude měnit na základě veřejné zakázky,  skutečně uzavřené smlouvy, případných dodatků či dalších budoucích změn.</t>
  </si>
  <si>
    <t>Všechna žlutě podbarvená políčka jsou určeny ke změně dle soudu uživatele.</t>
  </si>
  <si>
    <t>čistá zastavěná plocha včetně podzemních garáží</t>
  </si>
  <si>
    <t>plocha včetně podzemních garaží a zeleně okolo domů</t>
  </si>
  <si>
    <t>vyplňte odhadnutou hodnotu</t>
  </si>
  <si>
    <t>vyplňte hodnotu</t>
  </si>
  <si>
    <t>vyplňte odhadovanou hodnotu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</si>
</sst>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\ ###\ ###\ ##0.00"/>
    <numFmt numFmtId="165" formatCode="_-* #,##0.00\ _K_č_-;\-* #,##0.00\ _K_č_-;_-* &quot;-&quot;??\ _K_č_-;_-@_-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0" applyNumberFormat="1" applyFont="1"/>
    <xf numFmtId="165" fontId="0" fillId="0" borderId="0" xfId="0" applyNumberFormat="1"/>
    <xf numFmtId="166" fontId="0" fillId="0" borderId="0" xfId="1" applyNumberFormat="1" applyFont="1"/>
    <xf numFmtId="43" fontId="2" fillId="0" borderId="0" xfId="1" applyFont="1"/>
    <xf numFmtId="0" fontId="4" fillId="0" borderId="0" xfId="0" applyFont="1"/>
    <xf numFmtId="165" fontId="4" fillId="0" borderId="0" xfId="0" applyNumberFormat="1" applyFont="1"/>
    <xf numFmtId="0" fontId="0" fillId="0" borderId="0" xfId="0" applyFill="1"/>
    <xf numFmtId="0" fontId="2" fillId="0" borderId="0" xfId="0" applyFont="1" applyAlignment="1"/>
    <xf numFmtId="0" fontId="0" fillId="2" borderId="0" xfId="0" applyFill="1" applyAlignment="1">
      <alignment horizontal="center"/>
    </xf>
    <xf numFmtId="166" fontId="0" fillId="3" borderId="1" xfId="1" applyNumberFormat="1" applyFont="1" applyFill="1" applyBorder="1"/>
    <xf numFmtId="10" fontId="0" fillId="0" borderId="0" xfId="0" applyNumberFormat="1"/>
    <xf numFmtId="9" fontId="0" fillId="3" borderId="1" xfId="0" applyNumberFormat="1" applyFill="1" applyBorder="1"/>
    <xf numFmtId="10" fontId="2" fillId="0" borderId="0" xfId="2" applyNumberFormat="1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1" xfId="0" applyFill="1" applyBorder="1"/>
    <xf numFmtId="0" fontId="0" fillId="0" borderId="0" xfId="0" applyFill="1" applyBorder="1"/>
    <xf numFmtId="43" fontId="2" fillId="0" borderId="0" xfId="0" applyNumberFormat="1" applyFont="1" applyFill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43" fontId="7" fillId="0" borderId="7" xfId="1" applyFont="1" applyBorder="1"/>
    <xf numFmtId="43" fontId="0" fillId="2" borderId="7" xfId="1" applyFont="1" applyFill="1" applyBorder="1"/>
    <xf numFmtId="0" fontId="0" fillId="0" borderId="8" xfId="0" applyBorder="1" applyAlignment="1">
      <alignment horizontal="center"/>
    </xf>
    <xf numFmtId="43" fontId="0" fillId="2" borderId="9" xfId="1" applyFont="1" applyFill="1" applyBorder="1"/>
    <xf numFmtId="43" fontId="0" fillId="0" borderId="7" xfId="1" applyFont="1" applyFill="1" applyBorder="1"/>
    <xf numFmtId="0" fontId="0" fillId="0" borderId="10" xfId="0" applyBorder="1" applyAlignment="1">
      <alignment horizontal="center"/>
    </xf>
    <xf numFmtId="0" fontId="2" fillId="0" borderId="11" xfId="0" applyFont="1" applyBorder="1"/>
    <xf numFmtId="43" fontId="2" fillId="0" borderId="12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43" fontId="2" fillId="0" borderId="0" xfId="0" applyNumberFormat="1" applyFont="1" applyBorder="1"/>
    <xf numFmtId="0" fontId="0" fillId="0" borderId="0" xfId="0" applyBorder="1" applyAlignment="1">
      <alignment wrapText="1"/>
    </xf>
    <xf numFmtId="43" fontId="2" fillId="2" borderId="7" xfId="1" applyFont="1" applyFill="1" applyBorder="1"/>
    <xf numFmtId="0" fontId="2" fillId="0" borderId="11" xfId="0" applyFont="1" applyBorder="1" applyAlignment="1">
      <alignment wrapText="1"/>
    </xf>
    <xf numFmtId="43" fontId="2" fillId="2" borderId="12" xfId="0" applyNumberFormat="1" applyFont="1" applyFill="1" applyBorder="1"/>
    <xf numFmtId="0" fontId="0" fillId="0" borderId="6" xfId="0" applyFont="1" applyBorder="1" applyAlignment="1">
      <alignment horizontal="center"/>
    </xf>
    <xf numFmtId="43" fontId="0" fillId="0" borderId="7" xfId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43" fontId="0" fillId="0" borderId="7" xfId="1" applyFont="1" applyBorder="1"/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43" fontId="2" fillId="0" borderId="7" xfId="1" applyFont="1" applyBorder="1"/>
    <xf numFmtId="0" fontId="2" fillId="0" borderId="0" xfId="0" applyFont="1" applyBorder="1" applyAlignment="1">
      <alignment wrapText="1"/>
    </xf>
    <xf numFmtId="43" fontId="2" fillId="0" borderId="7" xfId="0" applyNumberFormat="1" applyFont="1" applyBorder="1"/>
    <xf numFmtId="43" fontId="2" fillId="0" borderId="12" xfId="1" applyFont="1" applyBorder="1"/>
    <xf numFmtId="43" fontId="2" fillId="0" borderId="0" xfId="1" applyFont="1" applyBorder="1"/>
    <xf numFmtId="43" fontId="0" fillId="0" borderId="9" xfId="1" applyFont="1" applyBorder="1"/>
    <xf numFmtId="0" fontId="2" fillId="0" borderId="11" xfId="0" applyFont="1" applyFill="1" applyBorder="1"/>
    <xf numFmtId="165" fontId="0" fillId="0" borderId="7" xfId="0" applyNumberFormat="1" applyBorder="1"/>
    <xf numFmtId="43" fontId="0" fillId="0" borderId="7" xfId="0" applyNumberFormat="1" applyBorder="1"/>
    <xf numFmtId="43" fontId="0" fillId="3" borderId="13" xfId="1" applyFont="1" applyFill="1" applyBorder="1" applyProtection="1">
      <protection locked="0"/>
    </xf>
    <xf numFmtId="165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2" fillId="0" borderId="2" xfId="0" applyNumberFormat="1" applyFont="1" applyBorder="1"/>
    <xf numFmtId="0" fontId="0" fillId="0" borderId="0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/>
    <xf numFmtId="10" fontId="0" fillId="3" borderId="1" xfId="0" applyNumberFormat="1" applyFont="1" applyFill="1" applyBorder="1"/>
    <xf numFmtId="43" fontId="0" fillId="3" borderId="1" xfId="1" applyFont="1" applyFill="1" applyBorder="1"/>
    <xf numFmtId="10" fontId="0" fillId="3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B6D1-9911-4AF1-B841-8F317321E112}">
  <dimension ref="A1:H40"/>
  <sheetViews>
    <sheetView tabSelected="1" workbookViewId="0">
      <selection sqref="A1:F2"/>
    </sheetView>
  </sheetViews>
  <sheetFormatPr defaultRowHeight="15" x14ac:dyDescent="0.25"/>
  <cols>
    <col min="2" max="2" width="43.42578125" bestFit="1" customWidth="1"/>
    <col min="3" max="3" width="16.5703125" bestFit="1" customWidth="1"/>
    <col min="7" max="7" width="16.140625" bestFit="1" customWidth="1"/>
  </cols>
  <sheetData>
    <row r="1" spans="1:8" x14ac:dyDescent="0.25">
      <c r="A1" s="70" t="s">
        <v>0</v>
      </c>
      <c r="B1" s="70"/>
      <c r="C1" s="70"/>
      <c r="D1" s="70"/>
      <c r="E1" s="70"/>
      <c r="F1" s="70"/>
      <c r="G1" s="10"/>
      <c r="H1" s="10"/>
    </row>
    <row r="2" spans="1:8" x14ac:dyDescent="0.25">
      <c r="A2" s="70"/>
      <c r="B2" s="70"/>
      <c r="C2" s="70"/>
      <c r="D2" s="70"/>
      <c r="E2" s="70"/>
      <c r="F2" s="70"/>
    </row>
    <row r="3" spans="1:8" x14ac:dyDescent="0.25">
      <c r="B3" t="s">
        <v>152</v>
      </c>
      <c r="C3" s="3">
        <f>'Náklady a výnosy'!C57</f>
        <v>254250075.34000003</v>
      </c>
    </row>
    <row r="4" spans="1:8" ht="15.75" thickBot="1" x14ac:dyDescent="0.3">
      <c r="B4" t="s">
        <v>153</v>
      </c>
      <c r="C4" s="63">
        <f>'Náklady a výnosy'!C72</f>
        <v>156997341.88999999</v>
      </c>
    </row>
    <row r="5" spans="1:8" x14ac:dyDescent="0.25">
      <c r="B5" s="1" t="s">
        <v>154</v>
      </c>
      <c r="C5" s="3">
        <f>C4-C3</f>
        <v>-97252733.450000048</v>
      </c>
    </row>
    <row r="6" spans="1:8" x14ac:dyDescent="0.25">
      <c r="C6" s="3"/>
    </row>
    <row r="7" spans="1:8" x14ac:dyDescent="0.25">
      <c r="B7" t="s">
        <v>155</v>
      </c>
      <c r="C7" s="3">
        <f>'Náklady a výnosy'!C78</f>
        <v>29329561.84</v>
      </c>
    </row>
    <row r="8" spans="1:8" x14ac:dyDescent="0.25">
      <c r="B8" s="1" t="s">
        <v>89</v>
      </c>
      <c r="C8" s="3">
        <f>C3-C7</f>
        <v>224920513.50000003</v>
      </c>
    </row>
    <row r="10" spans="1:8" x14ac:dyDescent="0.25">
      <c r="B10" t="s">
        <v>156</v>
      </c>
      <c r="C10" s="6">
        <f>'Náklady a výnosy'!C62+'Náklady a výnosy'!C61</f>
        <v>4604784</v>
      </c>
    </row>
    <row r="11" spans="1:8" ht="15.75" thickBot="1" x14ac:dyDescent="0.3">
      <c r="B11" t="s">
        <v>90</v>
      </c>
      <c r="C11" s="63">
        <f>'Náklady a výnosy'!C72-'Celkový přehled'!C10</f>
        <v>152392557.88999999</v>
      </c>
    </row>
    <row r="12" spans="1:8" x14ac:dyDescent="0.25">
      <c r="B12" s="1" t="s">
        <v>91</v>
      </c>
      <c r="C12" s="3">
        <f>SUM(C10:C11)</f>
        <v>156997341.88999999</v>
      </c>
    </row>
    <row r="14" spans="1:8" x14ac:dyDescent="0.25">
      <c r="B14" t="s">
        <v>95</v>
      </c>
      <c r="C14" s="3">
        <f>'Náklady a výnosy'!C52</f>
        <v>215610138.50000003</v>
      </c>
    </row>
    <row r="15" spans="1:8" ht="15.75" thickBot="1" x14ac:dyDescent="0.3">
      <c r="B15" t="s">
        <v>94</v>
      </c>
      <c r="C15" s="63">
        <f>'Náklady a výnosy'!C55</f>
        <v>9310375</v>
      </c>
    </row>
    <row r="16" spans="1:8" x14ac:dyDescent="0.25">
      <c r="B16" s="1" t="s">
        <v>98</v>
      </c>
      <c r="C16" s="3">
        <f>SUM(C14:C15)</f>
        <v>224920513.50000003</v>
      </c>
    </row>
    <row r="18" spans="2:7" x14ac:dyDescent="0.25">
      <c r="B18" t="s">
        <v>99</v>
      </c>
      <c r="C18" s="3">
        <f>C5*-1</f>
        <v>97252733.450000048</v>
      </c>
    </row>
    <row r="19" spans="2:7" ht="15.75" thickBot="1" x14ac:dyDescent="0.3">
      <c r="B19" t="s">
        <v>100</v>
      </c>
      <c r="C19" s="63">
        <f>C7</f>
        <v>29329561.84</v>
      </c>
    </row>
    <row r="20" spans="2:7" x14ac:dyDescent="0.25">
      <c r="B20" s="1" t="s">
        <v>93</v>
      </c>
      <c r="C20" s="3">
        <f>C18-C19</f>
        <v>67923171.610000044</v>
      </c>
    </row>
    <row r="22" spans="2:7" x14ac:dyDescent="0.25">
      <c r="B22" t="s">
        <v>118</v>
      </c>
      <c r="C22" s="3">
        <f>'Náklady nad rámec'!C25</f>
        <v>40232242.920748234</v>
      </c>
    </row>
    <row r="23" spans="2:7" x14ac:dyDescent="0.25">
      <c r="B23" t="s">
        <v>91</v>
      </c>
      <c r="C23" s="3">
        <f>C12</f>
        <v>156997341.88999999</v>
      </c>
    </row>
    <row r="24" spans="2:7" ht="15.75" thickBot="1" x14ac:dyDescent="0.3">
      <c r="B24" t="s">
        <v>140</v>
      </c>
      <c r="C24" s="63">
        <f>C3</f>
        <v>254250075.34000003</v>
      </c>
      <c r="G24" s="2"/>
    </row>
    <row r="25" spans="2:7" x14ac:dyDescent="0.25">
      <c r="B25" s="1" t="s">
        <v>162</v>
      </c>
      <c r="C25" s="3">
        <f>(C23+C22)-C24</f>
        <v>-57020490.529251814</v>
      </c>
      <c r="G25" s="2"/>
    </row>
    <row r="26" spans="2:7" x14ac:dyDescent="0.25">
      <c r="C26" s="3"/>
      <c r="G26" s="2"/>
    </row>
    <row r="27" spans="2:7" x14ac:dyDescent="0.25">
      <c r="B27" s="1" t="s">
        <v>154</v>
      </c>
      <c r="C27" s="3">
        <f>C5</f>
        <v>-97252733.450000048</v>
      </c>
      <c r="G27" s="2"/>
    </row>
    <row r="28" spans="2:7" x14ac:dyDescent="0.25">
      <c r="B28" t="s">
        <v>118</v>
      </c>
      <c r="C28" s="3">
        <f>C22</f>
        <v>40232242.920748234</v>
      </c>
      <c r="G28" s="2"/>
    </row>
    <row r="29" spans="2:7" ht="15.75" thickBot="1" x14ac:dyDescent="0.3">
      <c r="B29" t="s">
        <v>155</v>
      </c>
      <c r="C29" s="63">
        <f>C7</f>
        <v>29329561.84</v>
      </c>
      <c r="G29" s="2"/>
    </row>
    <row r="30" spans="2:7" x14ac:dyDescent="0.25">
      <c r="B30" s="1" t="s">
        <v>163</v>
      </c>
      <c r="C30" s="3">
        <f>C27+C28+C29</f>
        <v>-27690928.689251814</v>
      </c>
      <c r="G30" s="2"/>
    </row>
    <row r="31" spans="2:7" x14ac:dyDescent="0.25">
      <c r="B31" s="1"/>
      <c r="C31" s="3"/>
      <c r="G31" s="2"/>
    </row>
    <row r="32" spans="2:7" x14ac:dyDescent="0.25">
      <c r="B32" s="1"/>
      <c r="C32" s="3"/>
      <c r="G32" s="2"/>
    </row>
    <row r="33" spans="1:2" x14ac:dyDescent="0.25">
      <c r="A33" t="s">
        <v>167</v>
      </c>
    </row>
    <row r="34" spans="1:2" x14ac:dyDescent="0.25">
      <c r="A34" t="s">
        <v>158</v>
      </c>
    </row>
    <row r="35" spans="1:2" x14ac:dyDescent="0.25">
      <c r="A35" t="s">
        <v>168</v>
      </c>
    </row>
    <row r="36" spans="1:2" x14ac:dyDescent="0.25">
      <c r="A36" t="s">
        <v>142</v>
      </c>
    </row>
    <row r="37" spans="1:2" x14ac:dyDescent="0.25">
      <c r="A37" t="s">
        <v>169</v>
      </c>
    </row>
    <row r="40" spans="1:2" x14ac:dyDescent="0.25">
      <c r="B40" t="s">
        <v>159</v>
      </c>
    </row>
  </sheetData>
  <sheetProtection algorithmName="SHA-512" hashValue="KhQ8joo5+I7MP6llxrI0ETCW4oTLc3Nlr7ylVXaOXy5ynCZwUokgHAby5vFMorb+A5p4J5X3fjCX9DCbuoQhGg==" saltValue="w7/n+Uq9SVJfhr42hUIbhw==" spinCount="100000" sheet="1" objects="1" scenarios="1"/>
  <mergeCells count="1">
    <mergeCell ref="A1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7984-99C3-459D-A014-6D94D711BF0E}">
  <dimension ref="A1:H81"/>
  <sheetViews>
    <sheetView topLeftCell="A2" workbookViewId="0">
      <selection activeCell="C46" sqref="C46"/>
    </sheetView>
  </sheetViews>
  <sheetFormatPr defaultRowHeight="15" x14ac:dyDescent="0.25"/>
  <cols>
    <col min="1" max="1" width="23.85546875" bestFit="1" customWidth="1"/>
    <col min="2" max="2" width="45.5703125" customWidth="1"/>
    <col min="3" max="3" width="17.7109375" bestFit="1" customWidth="1"/>
  </cols>
  <sheetData>
    <row r="1" spans="1:8" x14ac:dyDescent="0.25">
      <c r="A1" s="71" t="s">
        <v>0</v>
      </c>
      <c r="B1" s="71"/>
      <c r="C1" s="71"/>
      <c r="D1" s="71"/>
      <c r="E1" s="71"/>
      <c r="F1" s="71"/>
      <c r="G1" s="71"/>
      <c r="H1" s="71"/>
    </row>
    <row r="2" spans="1:8" x14ac:dyDescent="0.25">
      <c r="A2" s="21" t="s">
        <v>1</v>
      </c>
      <c r="B2" s="22"/>
      <c r="C2" s="23"/>
    </row>
    <row r="3" spans="1:8" x14ac:dyDescent="0.25">
      <c r="A3" s="24" t="s">
        <v>123</v>
      </c>
      <c r="B3" s="25"/>
      <c r="C3" s="26"/>
    </row>
    <row r="4" spans="1:8" x14ac:dyDescent="0.25">
      <c r="A4" s="27" t="s">
        <v>21</v>
      </c>
      <c r="B4" s="25" t="s">
        <v>8</v>
      </c>
      <c r="C4" s="28">
        <v>198200</v>
      </c>
    </row>
    <row r="5" spans="1:8" x14ac:dyDescent="0.25">
      <c r="A5" s="27" t="s">
        <v>22</v>
      </c>
      <c r="B5" s="25" t="s">
        <v>9</v>
      </c>
      <c r="C5" s="28">
        <v>259829</v>
      </c>
    </row>
    <row r="6" spans="1:8" x14ac:dyDescent="0.25">
      <c r="A6" s="27" t="s">
        <v>23</v>
      </c>
      <c r="B6" s="25" t="s">
        <v>10</v>
      </c>
      <c r="C6" s="29">
        <v>5479000</v>
      </c>
    </row>
    <row r="7" spans="1:8" x14ac:dyDescent="0.25">
      <c r="A7" s="27" t="s">
        <v>24</v>
      </c>
      <c r="B7" s="25" t="s">
        <v>11</v>
      </c>
      <c r="C7" s="29">
        <v>10000</v>
      </c>
    </row>
    <row r="8" spans="1:8" ht="15" customHeight="1" x14ac:dyDescent="0.25">
      <c r="A8" s="27" t="s">
        <v>25</v>
      </c>
      <c r="B8" s="25" t="s">
        <v>12</v>
      </c>
      <c r="C8" s="29">
        <v>11290</v>
      </c>
    </row>
    <row r="9" spans="1:8" ht="15" customHeight="1" thickBot="1" x14ac:dyDescent="0.3">
      <c r="A9" s="30" t="s">
        <v>26</v>
      </c>
      <c r="B9" s="16" t="s">
        <v>40</v>
      </c>
      <c r="C9" s="31">
        <v>195970</v>
      </c>
    </row>
    <row r="10" spans="1:8" ht="15" customHeight="1" x14ac:dyDescent="0.25">
      <c r="A10" s="27"/>
      <c r="B10" s="25" t="s">
        <v>92</v>
      </c>
      <c r="C10" s="29">
        <f>C9+C8+C7+C6</f>
        <v>5696260</v>
      </c>
    </row>
    <row r="11" spans="1:8" ht="15" customHeight="1" x14ac:dyDescent="0.25">
      <c r="A11" s="27"/>
      <c r="B11" s="25" t="s">
        <v>93</v>
      </c>
      <c r="C11" s="32">
        <f>C4+C5</f>
        <v>458029</v>
      </c>
    </row>
    <row r="12" spans="1:8" ht="15" customHeight="1" x14ac:dyDescent="0.25">
      <c r="A12" s="33"/>
      <c r="B12" s="34" t="s">
        <v>147</v>
      </c>
      <c r="C12" s="35">
        <f>SUM(C4:C9)</f>
        <v>6154289</v>
      </c>
    </row>
    <row r="13" spans="1:8" ht="15" customHeight="1" x14ac:dyDescent="0.25">
      <c r="A13" s="36"/>
      <c r="B13" s="37"/>
      <c r="C13" s="38"/>
    </row>
    <row r="14" spans="1:8" x14ac:dyDescent="0.25">
      <c r="A14" s="21" t="s">
        <v>146</v>
      </c>
      <c r="B14" s="22"/>
      <c r="C14" s="23"/>
    </row>
    <row r="15" spans="1:8" x14ac:dyDescent="0.25">
      <c r="A15" s="27" t="s">
        <v>21</v>
      </c>
      <c r="B15" s="25" t="s">
        <v>2</v>
      </c>
      <c r="C15" s="29">
        <v>288376</v>
      </c>
    </row>
    <row r="16" spans="1:8" x14ac:dyDescent="0.25">
      <c r="A16" s="27" t="s">
        <v>22</v>
      </c>
      <c r="B16" s="25" t="s">
        <v>3</v>
      </c>
      <c r="C16" s="29">
        <v>361790</v>
      </c>
    </row>
    <row r="17" spans="1:6" x14ac:dyDescent="0.25">
      <c r="A17" s="27" t="s">
        <v>23</v>
      </c>
      <c r="B17" s="25" t="s">
        <v>106</v>
      </c>
      <c r="C17" s="29">
        <v>41265.839999999997</v>
      </c>
    </row>
    <row r="18" spans="1:6" x14ac:dyDescent="0.25">
      <c r="A18" s="27" t="s">
        <v>24</v>
      </c>
      <c r="B18" s="25" t="s">
        <v>119</v>
      </c>
      <c r="C18" s="29">
        <v>121242</v>
      </c>
    </row>
    <row r="19" spans="1:6" x14ac:dyDescent="0.25">
      <c r="A19" s="27" t="s">
        <v>25</v>
      </c>
      <c r="B19" s="25" t="s">
        <v>4</v>
      </c>
      <c r="C19" s="29">
        <v>148848</v>
      </c>
    </row>
    <row r="20" spans="1:6" x14ac:dyDescent="0.25">
      <c r="A20" s="27" t="s">
        <v>26</v>
      </c>
      <c r="B20" s="25" t="s">
        <v>36</v>
      </c>
      <c r="C20" s="29">
        <v>383328</v>
      </c>
    </row>
    <row r="21" spans="1:6" x14ac:dyDescent="0.25">
      <c r="A21" s="27" t="s">
        <v>27</v>
      </c>
      <c r="B21" s="25" t="s">
        <v>39</v>
      </c>
      <c r="C21" s="29">
        <v>128260</v>
      </c>
    </row>
    <row r="22" spans="1:6" ht="29.25" customHeight="1" x14ac:dyDescent="0.25">
      <c r="A22" s="27" t="s">
        <v>34</v>
      </c>
      <c r="B22" s="39" t="s">
        <v>28</v>
      </c>
      <c r="C22" s="29">
        <v>2286900</v>
      </c>
    </row>
    <row r="23" spans="1:6" ht="28.5" customHeight="1" x14ac:dyDescent="0.25">
      <c r="A23" s="27" t="s">
        <v>35</v>
      </c>
      <c r="B23" s="39" t="s">
        <v>5</v>
      </c>
      <c r="C23" s="29">
        <v>767140</v>
      </c>
    </row>
    <row r="24" spans="1:6" ht="29.25" customHeight="1" x14ac:dyDescent="0.25">
      <c r="A24" s="27" t="s">
        <v>49</v>
      </c>
      <c r="B24" s="39" t="s">
        <v>31</v>
      </c>
      <c r="C24" s="29">
        <v>173030</v>
      </c>
      <c r="F24" s="9"/>
    </row>
    <row r="25" spans="1:6" ht="29.25" customHeight="1" x14ac:dyDescent="0.25">
      <c r="A25" s="27" t="s">
        <v>50</v>
      </c>
      <c r="B25" s="39" t="s">
        <v>101</v>
      </c>
      <c r="C25" s="29">
        <v>448245</v>
      </c>
      <c r="F25" s="9"/>
    </row>
    <row r="26" spans="1:6" ht="30" customHeight="1" x14ac:dyDescent="0.25">
      <c r="A26" s="27" t="s">
        <v>51</v>
      </c>
      <c r="B26" s="39" t="s">
        <v>6</v>
      </c>
      <c r="C26" s="29">
        <v>53300</v>
      </c>
    </row>
    <row r="27" spans="1:6" ht="30" customHeight="1" thickBot="1" x14ac:dyDescent="0.3">
      <c r="A27" s="30" t="s">
        <v>52</v>
      </c>
      <c r="B27" s="17" t="s">
        <v>105</v>
      </c>
      <c r="C27" s="31">
        <v>6292</v>
      </c>
    </row>
    <row r="28" spans="1:6" ht="30" customHeight="1" x14ac:dyDescent="0.25">
      <c r="A28" s="27"/>
      <c r="B28" s="39" t="s">
        <v>92</v>
      </c>
      <c r="C28" s="40">
        <f>SUM(C15:C27)</f>
        <v>5208016.84</v>
      </c>
    </row>
    <row r="29" spans="1:6" ht="30" customHeight="1" x14ac:dyDescent="0.25">
      <c r="A29" s="27"/>
      <c r="B29" s="39" t="s">
        <v>93</v>
      </c>
      <c r="C29" s="32">
        <v>0</v>
      </c>
    </row>
    <row r="30" spans="1:6" x14ac:dyDescent="0.25">
      <c r="A30" s="33"/>
      <c r="B30" s="41" t="s">
        <v>145</v>
      </c>
      <c r="C30" s="42">
        <f>SUM(C15:C27)</f>
        <v>5208016.84</v>
      </c>
    </row>
    <row r="31" spans="1:6" x14ac:dyDescent="0.25">
      <c r="A31" s="60"/>
      <c r="C31" s="20"/>
    </row>
    <row r="32" spans="1:6" x14ac:dyDescent="0.25">
      <c r="A32" s="21" t="s">
        <v>18</v>
      </c>
      <c r="B32" s="22"/>
      <c r="C32" s="23"/>
    </row>
    <row r="33" spans="1:3" x14ac:dyDescent="0.25">
      <c r="A33" s="43" t="s">
        <v>21</v>
      </c>
      <c r="B33" s="39" t="s">
        <v>87</v>
      </c>
      <c r="C33" s="29">
        <v>6099713</v>
      </c>
    </row>
    <row r="34" spans="1:3" x14ac:dyDescent="0.25">
      <c r="A34" s="43" t="s">
        <v>22</v>
      </c>
      <c r="B34" s="39" t="s">
        <v>88</v>
      </c>
      <c r="C34" s="29">
        <v>3300268</v>
      </c>
    </row>
    <row r="35" spans="1:3" x14ac:dyDescent="0.25">
      <c r="A35" s="43" t="s">
        <v>23</v>
      </c>
      <c r="B35" s="39" t="s">
        <v>103</v>
      </c>
      <c r="C35" s="29">
        <v>375000</v>
      </c>
    </row>
    <row r="36" spans="1:3" x14ac:dyDescent="0.25">
      <c r="A36" s="43" t="s">
        <v>24</v>
      </c>
      <c r="B36" s="39" t="s">
        <v>104</v>
      </c>
      <c r="C36" s="44">
        <v>532000</v>
      </c>
    </row>
    <row r="37" spans="1:3" x14ac:dyDescent="0.25">
      <c r="A37" s="43" t="s">
        <v>25</v>
      </c>
      <c r="B37" s="39" t="s">
        <v>120</v>
      </c>
      <c r="C37" s="29">
        <v>1195250</v>
      </c>
    </row>
    <row r="38" spans="1:3" x14ac:dyDescent="0.25">
      <c r="A38" s="43" t="s">
        <v>26</v>
      </c>
      <c r="B38" s="39" t="s">
        <v>121</v>
      </c>
      <c r="C38" s="44">
        <v>1195250</v>
      </c>
    </row>
    <row r="39" spans="1:3" x14ac:dyDescent="0.25">
      <c r="A39" s="43" t="s">
        <v>27</v>
      </c>
      <c r="B39" s="25" t="s">
        <v>29</v>
      </c>
      <c r="C39" s="44">
        <v>147052051.39000002</v>
      </c>
    </row>
    <row r="40" spans="1:3" x14ac:dyDescent="0.25">
      <c r="A40" s="43" t="s">
        <v>34</v>
      </c>
      <c r="B40" s="25" t="s">
        <v>33</v>
      </c>
      <c r="C40" s="45">
        <v>7874709</v>
      </c>
    </row>
    <row r="41" spans="1:3" x14ac:dyDescent="0.25">
      <c r="A41" s="43" t="s">
        <v>35</v>
      </c>
      <c r="B41" s="25" t="s">
        <v>7</v>
      </c>
      <c r="C41" s="29">
        <v>2838950</v>
      </c>
    </row>
    <row r="42" spans="1:3" x14ac:dyDescent="0.25">
      <c r="A42" s="43" t="s">
        <v>49</v>
      </c>
      <c r="B42" s="25" t="s">
        <v>30</v>
      </c>
      <c r="C42" s="46">
        <v>41743749.450000003</v>
      </c>
    </row>
    <row r="43" spans="1:3" x14ac:dyDescent="0.25">
      <c r="A43" s="43" t="s">
        <v>50</v>
      </c>
      <c r="B43" s="25" t="s">
        <v>13</v>
      </c>
      <c r="C43" s="46">
        <v>5010741.79</v>
      </c>
    </row>
    <row r="44" spans="1:3" ht="30" customHeight="1" x14ac:dyDescent="0.25">
      <c r="A44" s="43" t="s">
        <v>51</v>
      </c>
      <c r="B44" s="39" t="s">
        <v>32</v>
      </c>
      <c r="C44" s="46">
        <v>5743607.8700000001</v>
      </c>
    </row>
    <row r="45" spans="1:3" ht="30" customHeight="1" thickBot="1" x14ac:dyDescent="0.3">
      <c r="A45" s="43" t="s">
        <v>52</v>
      </c>
      <c r="B45" s="39" t="s">
        <v>41</v>
      </c>
      <c r="C45" s="29">
        <v>4616104</v>
      </c>
    </row>
    <row r="46" spans="1:3" ht="15.75" thickBot="1" x14ac:dyDescent="0.3">
      <c r="A46" s="47" t="s">
        <v>53</v>
      </c>
      <c r="B46" s="17" t="s">
        <v>141</v>
      </c>
      <c r="C46" s="58">
        <v>6000000</v>
      </c>
    </row>
    <row r="47" spans="1:3" x14ac:dyDescent="0.25">
      <c r="A47" s="43"/>
      <c r="B47" s="48" t="s">
        <v>92</v>
      </c>
      <c r="C47" s="49">
        <f>C33+C34+C41+C45+C35+C37</f>
        <v>18425285</v>
      </c>
    </row>
    <row r="48" spans="1:3" x14ac:dyDescent="0.25">
      <c r="A48" s="43"/>
      <c r="B48" s="48" t="s">
        <v>93</v>
      </c>
      <c r="C48" s="49">
        <f>C39+C40+C42+C43+C44+C46+C38+C36</f>
        <v>215152109.50000003</v>
      </c>
    </row>
    <row r="49" spans="1:3" x14ac:dyDescent="0.25">
      <c r="A49" s="27"/>
      <c r="B49" s="50" t="s">
        <v>108</v>
      </c>
      <c r="C49" s="51">
        <f>SUM(C33:C46)</f>
        <v>233577394.50000003</v>
      </c>
    </row>
    <row r="50" spans="1:3" x14ac:dyDescent="0.25">
      <c r="A50" s="27"/>
      <c r="B50" s="39"/>
      <c r="C50" s="51"/>
    </row>
    <row r="51" spans="1:3" x14ac:dyDescent="0.25">
      <c r="A51" s="27"/>
      <c r="B51" s="50" t="s">
        <v>96</v>
      </c>
      <c r="C51" s="51">
        <f>C10+C28+C47</f>
        <v>29329561.84</v>
      </c>
    </row>
    <row r="52" spans="1:3" x14ac:dyDescent="0.25">
      <c r="A52" s="33"/>
      <c r="B52" s="41" t="s">
        <v>97</v>
      </c>
      <c r="C52" s="35">
        <f>C11+C48</f>
        <v>215610138.50000003</v>
      </c>
    </row>
    <row r="53" spans="1:3" x14ac:dyDescent="0.25">
      <c r="A53" s="36"/>
      <c r="B53" s="50"/>
      <c r="C53" s="38"/>
    </row>
    <row r="54" spans="1:3" x14ac:dyDescent="0.25">
      <c r="A54" s="21" t="s">
        <v>38</v>
      </c>
      <c r="B54" s="22"/>
      <c r="C54" s="23"/>
    </row>
    <row r="55" spans="1:3" x14ac:dyDescent="0.25">
      <c r="A55" s="27"/>
      <c r="B55" s="25" t="s">
        <v>157</v>
      </c>
      <c r="C55" s="49">
        <f>Úvěr!D49</f>
        <v>9310375</v>
      </c>
    </row>
    <row r="56" spans="1:3" x14ac:dyDescent="0.25">
      <c r="A56" s="27"/>
      <c r="B56" s="25"/>
      <c r="C56" s="49"/>
    </row>
    <row r="57" spans="1:3" x14ac:dyDescent="0.25">
      <c r="A57" s="33"/>
      <c r="B57" s="34" t="s">
        <v>85</v>
      </c>
      <c r="C57" s="52">
        <f>C55+C49+C30+C12</f>
        <v>254250075.34000003</v>
      </c>
    </row>
    <row r="58" spans="1:3" x14ac:dyDescent="0.25">
      <c r="A58" s="36"/>
      <c r="B58" s="37"/>
      <c r="C58" s="53"/>
    </row>
    <row r="59" spans="1:3" x14ac:dyDescent="0.25">
      <c r="A59" s="21" t="s">
        <v>19</v>
      </c>
      <c r="B59" s="22"/>
      <c r="C59" s="23"/>
    </row>
    <row r="60" spans="1:3" x14ac:dyDescent="0.25">
      <c r="A60" s="24" t="s">
        <v>20</v>
      </c>
      <c r="B60" s="25"/>
      <c r="C60" s="26"/>
    </row>
    <row r="61" spans="1:3" x14ac:dyDescent="0.25">
      <c r="A61" s="27" t="s">
        <v>21</v>
      </c>
      <c r="B61" s="25" t="s">
        <v>102</v>
      </c>
      <c r="C61" s="29">
        <v>4574784</v>
      </c>
    </row>
    <row r="62" spans="1:3" x14ac:dyDescent="0.25">
      <c r="A62" s="27" t="s">
        <v>22</v>
      </c>
      <c r="B62" s="25" t="s">
        <v>37</v>
      </c>
      <c r="C62" s="29">
        <v>30000</v>
      </c>
    </row>
    <row r="63" spans="1:3" x14ac:dyDescent="0.25">
      <c r="A63" s="27" t="s">
        <v>23</v>
      </c>
      <c r="B63" s="25" t="s">
        <v>15</v>
      </c>
      <c r="C63" s="29">
        <v>6803580</v>
      </c>
    </row>
    <row r="64" spans="1:3" x14ac:dyDescent="0.25">
      <c r="A64" s="27" t="s">
        <v>24</v>
      </c>
      <c r="B64" s="25" t="s">
        <v>16</v>
      </c>
      <c r="C64" s="46">
        <f>'Prodej pozemků'!C8</f>
        <v>88887000</v>
      </c>
    </row>
    <row r="65" spans="1:3" x14ac:dyDescent="0.25">
      <c r="A65" s="27" t="s">
        <v>25</v>
      </c>
      <c r="B65" s="25" t="s">
        <v>17</v>
      </c>
      <c r="C65" s="46">
        <f>'Prodej pozemků'!C3</f>
        <v>32140000</v>
      </c>
    </row>
    <row r="66" spans="1:3" x14ac:dyDescent="0.25">
      <c r="A66" s="27" t="s">
        <v>26</v>
      </c>
      <c r="B66" s="25" t="s">
        <v>33</v>
      </c>
      <c r="C66" s="46">
        <v>9528397.8900000006</v>
      </c>
    </row>
    <row r="67" spans="1:3" x14ac:dyDescent="0.25">
      <c r="A67" s="27" t="s">
        <v>27</v>
      </c>
      <c r="B67" s="25" t="s">
        <v>14</v>
      </c>
      <c r="C67" s="29">
        <v>11653200</v>
      </c>
    </row>
    <row r="68" spans="1:3" x14ac:dyDescent="0.25">
      <c r="A68" s="27" t="s">
        <v>34</v>
      </c>
      <c r="B68" s="25" t="s">
        <v>107</v>
      </c>
      <c r="C68" s="46">
        <v>350000</v>
      </c>
    </row>
    <row r="69" spans="1:3" ht="15.75" thickBot="1" x14ac:dyDescent="0.3">
      <c r="A69" s="30" t="s">
        <v>35</v>
      </c>
      <c r="B69" s="16" t="s">
        <v>109</v>
      </c>
      <c r="C69" s="54">
        <v>3030380</v>
      </c>
    </row>
    <row r="70" spans="1:3" x14ac:dyDescent="0.25">
      <c r="A70" s="27"/>
      <c r="B70" s="19" t="s">
        <v>150</v>
      </c>
      <c r="C70" s="56">
        <f>C61+C62</f>
        <v>4604784</v>
      </c>
    </row>
    <row r="71" spans="1:3" x14ac:dyDescent="0.25">
      <c r="A71" s="27"/>
      <c r="B71" s="19" t="s">
        <v>151</v>
      </c>
      <c r="C71" s="57">
        <f>SUM(C63:C69)</f>
        <v>152392557.88999999</v>
      </c>
    </row>
    <row r="72" spans="1:3" x14ac:dyDescent="0.25">
      <c r="A72" s="33"/>
      <c r="B72" s="55" t="s">
        <v>148</v>
      </c>
      <c r="C72" s="35">
        <f>SUM(C61:C69)</f>
        <v>156997341.88999999</v>
      </c>
    </row>
    <row r="73" spans="1:3" x14ac:dyDescent="0.25">
      <c r="A73" s="60"/>
    </row>
    <row r="74" spans="1:3" x14ac:dyDescent="0.25">
      <c r="A74" s="60"/>
      <c r="C74" s="4"/>
    </row>
    <row r="75" spans="1:3" x14ac:dyDescent="0.25">
      <c r="A75" s="60"/>
    </row>
    <row r="76" spans="1:3" x14ac:dyDescent="0.25">
      <c r="A76" s="60"/>
      <c r="C76" s="4"/>
    </row>
    <row r="77" spans="1:3" x14ac:dyDescent="0.25">
      <c r="A77" s="60"/>
      <c r="B77" s="7" t="s">
        <v>149</v>
      </c>
      <c r="C77" s="8">
        <f>C72-C57</f>
        <v>-97252733.450000048</v>
      </c>
    </row>
    <row r="78" spans="1:3" x14ac:dyDescent="0.25">
      <c r="A78" s="60"/>
      <c r="B78" t="s">
        <v>86</v>
      </c>
      <c r="C78" s="4">
        <f>C47+C28+C10</f>
        <v>29329561.84</v>
      </c>
    </row>
    <row r="79" spans="1:3" x14ac:dyDescent="0.25">
      <c r="A79" s="11"/>
      <c r="B79" t="s">
        <v>124</v>
      </c>
    </row>
    <row r="80" spans="1:3" ht="15.75" thickBot="1" x14ac:dyDescent="0.3">
      <c r="A80" s="60" t="s">
        <v>122</v>
      </c>
      <c r="B80" t="s">
        <v>125</v>
      </c>
    </row>
    <row r="81" spans="1:2" ht="15.75" thickBot="1" x14ac:dyDescent="0.3">
      <c r="A81" s="18"/>
      <c r="B81" t="s">
        <v>172</v>
      </c>
    </row>
  </sheetData>
  <sheetProtection algorithmName="SHA-512" hashValue="CkdUgpeO7Y6HSy1eac2knyALcQhb4ooADdaLY/qiFE3wYRpgm4amxKbuHCQ3RgguFVMuhDw95V36HzxlT5xt7Q==" saltValue="RannTYdWxry7HzryNIgpCg==" spinCount="100000" sheet="1" selectLockedCells="1"/>
  <mergeCells count="1">
    <mergeCell ref="A1:H1"/>
  </mergeCells>
  <phoneticPr fontId="3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97AF-D422-45D7-B153-B818EBC8C469}">
  <dimension ref="A1:D52"/>
  <sheetViews>
    <sheetView topLeftCell="A28" workbookViewId="0">
      <selection activeCell="B53" sqref="B53"/>
    </sheetView>
  </sheetViews>
  <sheetFormatPr defaultRowHeight="15" x14ac:dyDescent="0.25"/>
  <cols>
    <col min="1" max="1" width="31" bestFit="1" customWidth="1"/>
    <col min="2" max="2" width="17.5703125" bestFit="1" customWidth="1"/>
    <col min="3" max="3" width="25" bestFit="1" customWidth="1"/>
    <col min="4" max="4" width="15.42578125" bestFit="1" customWidth="1"/>
  </cols>
  <sheetData>
    <row r="1" spans="1:4" ht="15.75" thickBot="1" x14ac:dyDescent="0.3">
      <c r="A1" s="1" t="s">
        <v>43</v>
      </c>
      <c r="B1" s="68">
        <v>190000000</v>
      </c>
    </row>
    <row r="2" spans="1:4" ht="15.75" thickBot="1" x14ac:dyDescent="0.3">
      <c r="A2" s="1" t="s">
        <v>48</v>
      </c>
      <c r="B2" s="69">
        <v>0.01</v>
      </c>
    </row>
    <row r="3" spans="1:4" ht="15.75" thickBot="1" x14ac:dyDescent="0.3">
      <c r="A3" s="1" t="s">
        <v>164</v>
      </c>
      <c r="B3" s="18">
        <v>300</v>
      </c>
    </row>
    <row r="4" spans="1:4" x14ac:dyDescent="0.25">
      <c r="B4" t="s">
        <v>44</v>
      </c>
    </row>
    <row r="6" spans="1:4" x14ac:dyDescent="0.25">
      <c r="A6" t="s">
        <v>46</v>
      </c>
      <c r="B6" t="s">
        <v>45</v>
      </c>
      <c r="C6" t="s">
        <v>126</v>
      </c>
      <c r="D6" t="s">
        <v>47</v>
      </c>
    </row>
    <row r="7" spans="1:4" x14ac:dyDescent="0.25">
      <c r="A7" s="62" t="s">
        <v>21</v>
      </c>
      <c r="B7" s="4">
        <f>$B$1/40</f>
        <v>4750000</v>
      </c>
      <c r="C7" s="4">
        <f>B1-B7</f>
        <v>185250000</v>
      </c>
      <c r="D7" s="4">
        <f>(B1*B2)/4</f>
        <v>475000</v>
      </c>
    </row>
    <row r="8" spans="1:4" x14ac:dyDescent="0.25">
      <c r="A8" s="62" t="s">
        <v>22</v>
      </c>
      <c r="B8" s="4">
        <f t="shared" ref="B8:B46" si="0">$B$1/40</f>
        <v>4750000</v>
      </c>
      <c r="C8" s="4">
        <f>C7-B8</f>
        <v>180500000</v>
      </c>
      <c r="D8" s="4">
        <f>(C8*$B$2)/4</f>
        <v>451250</v>
      </c>
    </row>
    <row r="9" spans="1:4" x14ac:dyDescent="0.25">
      <c r="A9" s="62" t="s">
        <v>23</v>
      </c>
      <c r="B9" s="4">
        <f t="shared" si="0"/>
        <v>4750000</v>
      </c>
      <c r="C9" s="4">
        <f t="shared" ref="C9:C46" si="1">C8-B9</f>
        <v>175750000</v>
      </c>
      <c r="D9" s="4">
        <f t="shared" ref="D9:D46" si="2">(C9*$B$2)/4</f>
        <v>439375</v>
      </c>
    </row>
    <row r="10" spans="1:4" x14ac:dyDescent="0.25">
      <c r="A10" s="62" t="s">
        <v>24</v>
      </c>
      <c r="B10" s="4">
        <f t="shared" si="0"/>
        <v>4750000</v>
      </c>
      <c r="C10" s="4">
        <f t="shared" si="1"/>
        <v>171000000</v>
      </c>
      <c r="D10" s="4">
        <f t="shared" si="2"/>
        <v>427500</v>
      </c>
    </row>
    <row r="11" spans="1:4" x14ac:dyDescent="0.25">
      <c r="A11" s="62" t="s">
        <v>25</v>
      </c>
      <c r="B11" s="4">
        <f t="shared" si="0"/>
        <v>4750000</v>
      </c>
      <c r="C11" s="4">
        <f t="shared" si="1"/>
        <v>166250000</v>
      </c>
      <c r="D11" s="4">
        <f t="shared" si="2"/>
        <v>415625</v>
      </c>
    </row>
    <row r="12" spans="1:4" x14ac:dyDescent="0.25">
      <c r="A12" s="62" t="s">
        <v>26</v>
      </c>
      <c r="B12" s="4">
        <f t="shared" si="0"/>
        <v>4750000</v>
      </c>
      <c r="C12" s="4">
        <f t="shared" si="1"/>
        <v>161500000</v>
      </c>
      <c r="D12" s="4">
        <f t="shared" si="2"/>
        <v>403750</v>
      </c>
    </row>
    <row r="13" spans="1:4" x14ac:dyDescent="0.25">
      <c r="A13" s="62" t="s">
        <v>27</v>
      </c>
      <c r="B13" s="4">
        <f t="shared" si="0"/>
        <v>4750000</v>
      </c>
      <c r="C13" s="4">
        <f t="shared" si="1"/>
        <v>156750000</v>
      </c>
      <c r="D13" s="4">
        <f t="shared" si="2"/>
        <v>391875</v>
      </c>
    </row>
    <row r="14" spans="1:4" x14ac:dyDescent="0.25">
      <c r="A14" s="62" t="s">
        <v>34</v>
      </c>
      <c r="B14" s="4">
        <f t="shared" si="0"/>
        <v>4750000</v>
      </c>
      <c r="C14" s="4">
        <f t="shared" si="1"/>
        <v>152000000</v>
      </c>
      <c r="D14" s="4">
        <f t="shared" si="2"/>
        <v>380000</v>
      </c>
    </row>
    <row r="15" spans="1:4" x14ac:dyDescent="0.25">
      <c r="A15" s="62" t="s">
        <v>35</v>
      </c>
      <c r="B15" s="4">
        <f t="shared" si="0"/>
        <v>4750000</v>
      </c>
      <c r="C15" s="4">
        <f t="shared" si="1"/>
        <v>147250000</v>
      </c>
      <c r="D15" s="4">
        <f t="shared" si="2"/>
        <v>368125</v>
      </c>
    </row>
    <row r="16" spans="1:4" x14ac:dyDescent="0.25">
      <c r="A16" s="62" t="s">
        <v>49</v>
      </c>
      <c r="B16" s="4">
        <f t="shared" si="0"/>
        <v>4750000</v>
      </c>
      <c r="C16" s="4">
        <f t="shared" si="1"/>
        <v>142500000</v>
      </c>
      <c r="D16" s="4">
        <f t="shared" si="2"/>
        <v>356250</v>
      </c>
    </row>
    <row r="17" spans="1:4" x14ac:dyDescent="0.25">
      <c r="A17" s="62" t="s">
        <v>50</v>
      </c>
      <c r="B17" s="4">
        <f t="shared" si="0"/>
        <v>4750000</v>
      </c>
      <c r="C17" s="4">
        <f t="shared" si="1"/>
        <v>137750000</v>
      </c>
      <c r="D17" s="4">
        <f t="shared" si="2"/>
        <v>344375</v>
      </c>
    </row>
    <row r="18" spans="1:4" x14ac:dyDescent="0.25">
      <c r="A18" s="62" t="s">
        <v>51</v>
      </c>
      <c r="B18" s="4">
        <f t="shared" si="0"/>
        <v>4750000</v>
      </c>
      <c r="C18" s="4">
        <f t="shared" si="1"/>
        <v>133000000</v>
      </c>
      <c r="D18" s="4">
        <f t="shared" si="2"/>
        <v>332500</v>
      </c>
    </row>
    <row r="19" spans="1:4" x14ac:dyDescent="0.25">
      <c r="A19" s="62" t="s">
        <v>52</v>
      </c>
      <c r="B19" s="4">
        <f t="shared" si="0"/>
        <v>4750000</v>
      </c>
      <c r="C19" s="4">
        <f t="shared" si="1"/>
        <v>128250000</v>
      </c>
      <c r="D19" s="4">
        <f t="shared" si="2"/>
        <v>320625</v>
      </c>
    </row>
    <row r="20" spans="1:4" x14ac:dyDescent="0.25">
      <c r="A20" s="62" t="s">
        <v>53</v>
      </c>
      <c r="B20" s="4">
        <f t="shared" si="0"/>
        <v>4750000</v>
      </c>
      <c r="C20" s="4">
        <f t="shared" si="1"/>
        <v>123500000</v>
      </c>
      <c r="D20" s="4">
        <f t="shared" si="2"/>
        <v>308750</v>
      </c>
    </row>
    <row r="21" spans="1:4" x14ac:dyDescent="0.25">
      <c r="A21" s="62" t="s">
        <v>54</v>
      </c>
      <c r="B21" s="4">
        <f t="shared" si="0"/>
        <v>4750000</v>
      </c>
      <c r="C21" s="4">
        <f t="shared" si="1"/>
        <v>118750000</v>
      </c>
      <c r="D21" s="4">
        <f t="shared" si="2"/>
        <v>296875</v>
      </c>
    </row>
    <row r="22" spans="1:4" x14ac:dyDescent="0.25">
      <c r="A22" s="62" t="s">
        <v>55</v>
      </c>
      <c r="B22" s="4">
        <f t="shared" si="0"/>
        <v>4750000</v>
      </c>
      <c r="C22" s="4">
        <f t="shared" si="1"/>
        <v>114000000</v>
      </c>
      <c r="D22" s="4">
        <f t="shared" si="2"/>
        <v>285000</v>
      </c>
    </row>
    <row r="23" spans="1:4" x14ac:dyDescent="0.25">
      <c r="A23" s="62" t="s">
        <v>56</v>
      </c>
      <c r="B23" s="4">
        <f t="shared" si="0"/>
        <v>4750000</v>
      </c>
      <c r="C23" s="4">
        <f t="shared" si="1"/>
        <v>109250000</v>
      </c>
      <c r="D23" s="4">
        <f t="shared" si="2"/>
        <v>273125</v>
      </c>
    </row>
    <row r="24" spans="1:4" x14ac:dyDescent="0.25">
      <c r="A24" s="62" t="s">
        <v>57</v>
      </c>
      <c r="B24" s="4">
        <f t="shared" si="0"/>
        <v>4750000</v>
      </c>
      <c r="C24" s="4">
        <f t="shared" si="1"/>
        <v>104500000</v>
      </c>
      <c r="D24" s="4">
        <f t="shared" si="2"/>
        <v>261250</v>
      </c>
    </row>
    <row r="25" spans="1:4" x14ac:dyDescent="0.25">
      <c r="A25" s="62" t="s">
        <v>58</v>
      </c>
      <c r="B25" s="4">
        <f t="shared" si="0"/>
        <v>4750000</v>
      </c>
      <c r="C25" s="4">
        <f t="shared" si="1"/>
        <v>99750000</v>
      </c>
      <c r="D25" s="4">
        <f t="shared" si="2"/>
        <v>249375</v>
      </c>
    </row>
    <row r="26" spans="1:4" x14ac:dyDescent="0.25">
      <c r="A26" s="62" t="s">
        <v>59</v>
      </c>
      <c r="B26" s="4">
        <f t="shared" si="0"/>
        <v>4750000</v>
      </c>
      <c r="C26" s="4">
        <f t="shared" si="1"/>
        <v>95000000</v>
      </c>
      <c r="D26" s="4">
        <f t="shared" si="2"/>
        <v>237500</v>
      </c>
    </row>
    <row r="27" spans="1:4" x14ac:dyDescent="0.25">
      <c r="A27" s="62" t="s">
        <v>60</v>
      </c>
      <c r="B27" s="4">
        <f t="shared" si="0"/>
        <v>4750000</v>
      </c>
      <c r="C27" s="4">
        <f t="shared" si="1"/>
        <v>90250000</v>
      </c>
      <c r="D27" s="4">
        <f t="shared" si="2"/>
        <v>225625</v>
      </c>
    </row>
    <row r="28" spans="1:4" x14ac:dyDescent="0.25">
      <c r="A28" s="62" t="s">
        <v>61</v>
      </c>
      <c r="B28" s="4">
        <f t="shared" si="0"/>
        <v>4750000</v>
      </c>
      <c r="C28" s="4">
        <f t="shared" si="1"/>
        <v>85500000</v>
      </c>
      <c r="D28" s="4">
        <f t="shared" si="2"/>
        <v>213750</v>
      </c>
    </row>
    <row r="29" spans="1:4" x14ac:dyDescent="0.25">
      <c r="A29" s="62" t="s">
        <v>62</v>
      </c>
      <c r="B29" s="4">
        <f t="shared" si="0"/>
        <v>4750000</v>
      </c>
      <c r="C29" s="4">
        <f t="shared" si="1"/>
        <v>80750000</v>
      </c>
      <c r="D29" s="4">
        <f t="shared" si="2"/>
        <v>201875</v>
      </c>
    </row>
    <row r="30" spans="1:4" x14ac:dyDescent="0.25">
      <c r="A30" s="62" t="s">
        <v>63</v>
      </c>
      <c r="B30" s="4">
        <f t="shared" si="0"/>
        <v>4750000</v>
      </c>
      <c r="C30" s="4">
        <f t="shared" si="1"/>
        <v>76000000</v>
      </c>
      <c r="D30" s="4">
        <f t="shared" si="2"/>
        <v>190000</v>
      </c>
    </row>
    <row r="31" spans="1:4" x14ac:dyDescent="0.25">
      <c r="A31" s="62" t="s">
        <v>64</v>
      </c>
      <c r="B31" s="4">
        <f t="shared" si="0"/>
        <v>4750000</v>
      </c>
      <c r="C31" s="4">
        <f t="shared" si="1"/>
        <v>71250000</v>
      </c>
      <c r="D31" s="4">
        <f t="shared" si="2"/>
        <v>178125</v>
      </c>
    </row>
    <row r="32" spans="1:4" x14ac:dyDescent="0.25">
      <c r="A32" s="62" t="s">
        <v>65</v>
      </c>
      <c r="B32" s="4">
        <f t="shared" si="0"/>
        <v>4750000</v>
      </c>
      <c r="C32" s="4">
        <f t="shared" si="1"/>
        <v>66500000</v>
      </c>
      <c r="D32" s="4">
        <f t="shared" si="2"/>
        <v>166250</v>
      </c>
    </row>
    <row r="33" spans="1:4" x14ac:dyDescent="0.25">
      <c r="A33" s="62" t="s">
        <v>66</v>
      </c>
      <c r="B33" s="4">
        <f t="shared" si="0"/>
        <v>4750000</v>
      </c>
      <c r="C33" s="4">
        <f t="shared" si="1"/>
        <v>61750000</v>
      </c>
      <c r="D33" s="4">
        <f t="shared" si="2"/>
        <v>154375</v>
      </c>
    </row>
    <row r="34" spans="1:4" x14ac:dyDescent="0.25">
      <c r="A34" s="62" t="s">
        <v>67</v>
      </c>
      <c r="B34" s="4">
        <f t="shared" si="0"/>
        <v>4750000</v>
      </c>
      <c r="C34" s="4">
        <f t="shared" si="1"/>
        <v>57000000</v>
      </c>
      <c r="D34" s="4">
        <f t="shared" si="2"/>
        <v>142500</v>
      </c>
    </row>
    <row r="35" spans="1:4" x14ac:dyDescent="0.25">
      <c r="A35" s="62" t="s">
        <v>68</v>
      </c>
      <c r="B35" s="4">
        <f t="shared" si="0"/>
        <v>4750000</v>
      </c>
      <c r="C35" s="4">
        <f t="shared" si="1"/>
        <v>52250000</v>
      </c>
      <c r="D35" s="4">
        <f t="shared" si="2"/>
        <v>130625</v>
      </c>
    </row>
    <row r="36" spans="1:4" x14ac:dyDescent="0.25">
      <c r="A36" s="62" t="s">
        <v>69</v>
      </c>
      <c r="B36" s="4">
        <f t="shared" si="0"/>
        <v>4750000</v>
      </c>
      <c r="C36" s="4">
        <f t="shared" si="1"/>
        <v>47500000</v>
      </c>
      <c r="D36" s="4">
        <f t="shared" si="2"/>
        <v>118750</v>
      </c>
    </row>
    <row r="37" spans="1:4" x14ac:dyDescent="0.25">
      <c r="A37" s="62" t="s">
        <v>70</v>
      </c>
      <c r="B37" s="4">
        <f t="shared" si="0"/>
        <v>4750000</v>
      </c>
      <c r="C37" s="4">
        <f t="shared" si="1"/>
        <v>42750000</v>
      </c>
      <c r="D37" s="4">
        <f t="shared" si="2"/>
        <v>106875</v>
      </c>
    </row>
    <row r="38" spans="1:4" x14ac:dyDescent="0.25">
      <c r="A38" s="62" t="s">
        <v>71</v>
      </c>
      <c r="B38" s="4">
        <f t="shared" si="0"/>
        <v>4750000</v>
      </c>
      <c r="C38" s="4">
        <f t="shared" si="1"/>
        <v>38000000</v>
      </c>
      <c r="D38" s="4">
        <f t="shared" si="2"/>
        <v>95000</v>
      </c>
    </row>
    <row r="39" spans="1:4" x14ac:dyDescent="0.25">
      <c r="A39" s="62" t="s">
        <v>72</v>
      </c>
      <c r="B39" s="4">
        <f t="shared" si="0"/>
        <v>4750000</v>
      </c>
      <c r="C39" s="4">
        <f t="shared" si="1"/>
        <v>33250000</v>
      </c>
      <c r="D39" s="4">
        <f t="shared" si="2"/>
        <v>83125</v>
      </c>
    </row>
    <row r="40" spans="1:4" x14ac:dyDescent="0.25">
      <c r="A40" s="62" t="s">
        <v>73</v>
      </c>
      <c r="B40" s="4">
        <f t="shared" si="0"/>
        <v>4750000</v>
      </c>
      <c r="C40" s="4">
        <f t="shared" si="1"/>
        <v>28500000</v>
      </c>
      <c r="D40" s="4">
        <f t="shared" si="2"/>
        <v>71250</v>
      </c>
    </row>
    <row r="41" spans="1:4" x14ac:dyDescent="0.25">
      <c r="A41" s="62" t="s">
        <v>74</v>
      </c>
      <c r="B41" s="4">
        <f t="shared" si="0"/>
        <v>4750000</v>
      </c>
      <c r="C41" s="4">
        <f t="shared" si="1"/>
        <v>23750000</v>
      </c>
      <c r="D41" s="4">
        <f t="shared" si="2"/>
        <v>59375</v>
      </c>
    </row>
    <row r="42" spans="1:4" x14ac:dyDescent="0.25">
      <c r="A42" s="62" t="s">
        <v>75</v>
      </c>
      <c r="B42" s="4">
        <f t="shared" si="0"/>
        <v>4750000</v>
      </c>
      <c r="C42" s="4">
        <f t="shared" si="1"/>
        <v>19000000</v>
      </c>
      <c r="D42" s="4">
        <f t="shared" si="2"/>
        <v>47500</v>
      </c>
    </row>
    <row r="43" spans="1:4" x14ac:dyDescent="0.25">
      <c r="A43" s="62" t="s">
        <v>76</v>
      </c>
      <c r="B43" s="4">
        <f t="shared" si="0"/>
        <v>4750000</v>
      </c>
      <c r="C43" s="4">
        <f t="shared" si="1"/>
        <v>14250000</v>
      </c>
      <c r="D43" s="4">
        <f t="shared" si="2"/>
        <v>35625</v>
      </c>
    </row>
    <row r="44" spans="1:4" x14ac:dyDescent="0.25">
      <c r="A44" s="62" t="s">
        <v>77</v>
      </c>
      <c r="B44" s="4">
        <f t="shared" si="0"/>
        <v>4750000</v>
      </c>
      <c r="C44" s="4">
        <f t="shared" si="1"/>
        <v>9500000</v>
      </c>
      <c r="D44" s="4">
        <f t="shared" si="2"/>
        <v>23750</v>
      </c>
    </row>
    <row r="45" spans="1:4" x14ac:dyDescent="0.25">
      <c r="A45" s="62" t="s">
        <v>78</v>
      </c>
      <c r="B45" s="4">
        <f t="shared" si="0"/>
        <v>4750000</v>
      </c>
      <c r="C45" s="4">
        <f t="shared" si="1"/>
        <v>4750000</v>
      </c>
      <c r="D45" s="4">
        <f t="shared" si="2"/>
        <v>11875</v>
      </c>
    </row>
    <row r="46" spans="1:4" x14ac:dyDescent="0.25">
      <c r="A46" s="62" t="s">
        <v>79</v>
      </c>
      <c r="B46" s="4">
        <f t="shared" si="0"/>
        <v>4750000</v>
      </c>
      <c r="C46" s="4">
        <f t="shared" si="1"/>
        <v>0</v>
      </c>
      <c r="D46" s="4">
        <f t="shared" si="2"/>
        <v>0</v>
      </c>
    </row>
    <row r="47" spans="1:4" x14ac:dyDescent="0.25">
      <c r="B47" s="4">
        <f>SUM(B7:B46)</f>
        <v>190000000</v>
      </c>
      <c r="D47" s="59">
        <f>SUM(D7:D46)</f>
        <v>9274375</v>
      </c>
    </row>
    <row r="48" spans="1:4" x14ac:dyDescent="0.25">
      <c r="C48" s="1" t="s">
        <v>160</v>
      </c>
      <c r="D48" s="4">
        <f>B3*120</f>
        <v>36000</v>
      </c>
    </row>
    <row r="49" spans="1:4" x14ac:dyDescent="0.25">
      <c r="C49" s="1" t="s">
        <v>161</v>
      </c>
      <c r="D49" s="59">
        <f>SUM(D47:D48)</f>
        <v>9310375</v>
      </c>
    </row>
    <row r="51" spans="1:4" ht="15.75" thickBot="1" x14ac:dyDescent="0.3"/>
    <row r="52" spans="1:4" ht="15.75" thickBot="1" x14ac:dyDescent="0.3">
      <c r="A52" s="18"/>
      <c r="B52" t="s">
        <v>173</v>
      </c>
    </row>
  </sheetData>
  <sheetProtection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44D6-59F9-41A6-915B-21E2C10164DB}">
  <dimension ref="A1:I30"/>
  <sheetViews>
    <sheetView workbookViewId="0">
      <selection activeCell="B30" sqref="B30"/>
    </sheetView>
  </sheetViews>
  <sheetFormatPr defaultRowHeight="15" x14ac:dyDescent="0.25"/>
  <cols>
    <col min="1" max="1" width="36" bestFit="1" customWidth="1"/>
    <col min="3" max="3" width="18.28515625" customWidth="1"/>
    <col min="4" max="4" width="17.28515625" bestFit="1" customWidth="1"/>
    <col min="9" max="9" width="12.85546875" bestFit="1" customWidth="1"/>
  </cols>
  <sheetData>
    <row r="1" spans="1:9" x14ac:dyDescent="0.25">
      <c r="A1" s="71" t="s">
        <v>110</v>
      </c>
      <c r="B1" s="71"/>
      <c r="C1" s="71"/>
      <c r="D1" s="71"/>
      <c r="E1" s="71"/>
      <c r="F1" s="71"/>
      <c r="G1" s="71"/>
      <c r="H1" s="71"/>
      <c r="I1" s="71"/>
    </row>
    <row r="3" spans="1:9" x14ac:dyDescent="0.25">
      <c r="A3" s="74" t="s">
        <v>144</v>
      </c>
      <c r="B3" s="74"/>
      <c r="C3" s="74"/>
      <c r="D3" s="74"/>
    </row>
    <row r="4" spans="1:9" ht="15" customHeight="1" x14ac:dyDescent="0.25">
      <c r="A4" t="s">
        <v>117</v>
      </c>
      <c r="B4">
        <v>96.32</v>
      </c>
      <c r="C4" s="2"/>
      <c r="E4" s="72" t="s">
        <v>134</v>
      </c>
      <c r="F4" s="72"/>
      <c r="G4" s="72"/>
      <c r="H4" s="72"/>
      <c r="I4" s="2"/>
    </row>
    <row r="5" spans="1:9" x14ac:dyDescent="0.25">
      <c r="A5" t="s">
        <v>112</v>
      </c>
      <c r="B5">
        <v>130.36000000000001</v>
      </c>
      <c r="E5" s="72"/>
      <c r="F5" s="72"/>
      <c r="G5" s="72"/>
      <c r="H5" s="72"/>
      <c r="I5" s="2"/>
    </row>
    <row r="6" spans="1:9" x14ac:dyDescent="0.25">
      <c r="A6" t="s">
        <v>113</v>
      </c>
      <c r="B6">
        <v>223.75</v>
      </c>
      <c r="C6" s="2"/>
      <c r="E6" s="72"/>
      <c r="F6" s="72"/>
      <c r="G6" s="72"/>
      <c r="H6" s="72"/>
      <c r="I6">
        <v>2503.6999999999998</v>
      </c>
    </row>
    <row r="7" spans="1:9" ht="15.75" thickBot="1" x14ac:dyDescent="0.3">
      <c r="A7" t="s">
        <v>115</v>
      </c>
      <c r="B7">
        <v>95.28</v>
      </c>
      <c r="C7" s="2"/>
      <c r="E7" s="73" t="s">
        <v>135</v>
      </c>
      <c r="F7" s="73"/>
      <c r="G7" s="73"/>
      <c r="H7" s="73"/>
      <c r="I7" s="16">
        <f>B9</f>
        <v>666.18000000000006</v>
      </c>
    </row>
    <row r="8" spans="1:9" ht="15.75" thickBot="1" x14ac:dyDescent="0.3">
      <c r="A8" s="16" t="s">
        <v>114</v>
      </c>
      <c r="B8" s="16">
        <v>120.47</v>
      </c>
      <c r="C8" s="2"/>
      <c r="E8" t="s">
        <v>136</v>
      </c>
      <c r="I8" s="15">
        <f>I7/I6</f>
        <v>0.26607820425769863</v>
      </c>
    </row>
    <row r="9" spans="1:9" x14ac:dyDescent="0.25">
      <c r="A9" s="1" t="s">
        <v>42</v>
      </c>
      <c r="B9" s="1">
        <f>SUM(B4:B8)</f>
        <v>666.18000000000006</v>
      </c>
      <c r="C9" s="2"/>
    </row>
    <row r="10" spans="1:9" x14ac:dyDescent="0.25">
      <c r="C10" s="2"/>
    </row>
    <row r="11" spans="1:9" ht="15.75" thickBot="1" x14ac:dyDescent="0.3">
      <c r="B11" s="61" t="s">
        <v>116</v>
      </c>
      <c r="C11" s="61" t="s">
        <v>166</v>
      </c>
      <c r="D11" s="61" t="s">
        <v>84</v>
      </c>
    </row>
    <row r="12" spans="1:9" ht="15.75" thickBot="1" x14ac:dyDescent="0.3">
      <c r="A12" t="s">
        <v>139</v>
      </c>
      <c r="B12" s="14">
        <v>0.35</v>
      </c>
      <c r="C12" s="4">
        <f>D12*B12</f>
        <v>17924171.807500001</v>
      </c>
      <c r="D12" s="4">
        <f>('Náklady a výnosy'!C6+'Náklady a výnosy'!C16+'Náklady a výnosy'!C23+'Náklady a výnosy'!C41+'Náklady a výnosy'!C42+'Náklady a výnosy'!C8+'Náklady a výnosy'!C7)</f>
        <v>51211919.450000003</v>
      </c>
    </row>
    <row r="13" spans="1:9" x14ac:dyDescent="0.25">
      <c r="A13" t="s">
        <v>111</v>
      </c>
      <c r="B13" s="13">
        <v>1</v>
      </c>
      <c r="C13" s="4">
        <v>5743607.8700000001</v>
      </c>
      <c r="D13" s="4">
        <f>C13</f>
        <v>5743607.8700000001</v>
      </c>
    </row>
    <row r="14" spans="1:9" x14ac:dyDescent="0.25">
      <c r="A14" s="25" t="s">
        <v>143</v>
      </c>
      <c r="B14" s="13">
        <f>$I$8</f>
        <v>0.26607820425769863</v>
      </c>
      <c r="C14" s="4">
        <f t="shared" ref="C14:C23" si="0">D14*B14</f>
        <v>941931.47737348732</v>
      </c>
      <c r="D14" s="4">
        <f>'Náklady a výnosy'!C16+'Náklady a výnosy'!C18+'Náklady a výnosy'!C19+'Náklady a výnosy'!C22+'Náklady a výnosy'!C24+'Náklady a výnosy'!C25</f>
        <v>3540055</v>
      </c>
    </row>
    <row r="15" spans="1:9" x14ac:dyDescent="0.25">
      <c r="A15" s="64" t="s">
        <v>127</v>
      </c>
      <c r="B15" s="13">
        <f>$I$8</f>
        <v>0.26607820425769863</v>
      </c>
      <c r="C15" s="4">
        <f t="shared" si="0"/>
        <v>581772.84940967371</v>
      </c>
      <c r="D15" s="4">
        <v>2186473.15</v>
      </c>
    </row>
    <row r="16" spans="1:9" x14ac:dyDescent="0.25">
      <c r="A16" s="64" t="s">
        <v>128</v>
      </c>
      <c r="B16" s="13">
        <f t="shared" ref="B16:B22" si="1">$I$8</f>
        <v>0.26607820425769863</v>
      </c>
      <c r="C16" s="4">
        <f t="shared" si="0"/>
        <v>2316656.7630276792</v>
      </c>
      <c r="D16" s="4">
        <v>8706676.1799999997</v>
      </c>
    </row>
    <row r="17" spans="1:4" x14ac:dyDescent="0.25">
      <c r="A17" s="64" t="s">
        <v>129</v>
      </c>
      <c r="B17" s="13">
        <f t="shared" si="1"/>
        <v>0.26607820425769863</v>
      </c>
      <c r="C17" s="4">
        <f t="shared" si="0"/>
        <v>3036212.3222015416</v>
      </c>
      <c r="D17" s="4">
        <v>11410977.199999999</v>
      </c>
    </row>
    <row r="18" spans="1:4" x14ac:dyDescent="0.25">
      <c r="A18" s="64" t="s">
        <v>130</v>
      </c>
      <c r="B18" s="13">
        <f t="shared" si="1"/>
        <v>0.26607820425769863</v>
      </c>
      <c r="C18" s="4">
        <f t="shared" si="0"/>
        <v>3301186.9325169153</v>
      </c>
      <c r="D18" s="4">
        <v>12406829.57</v>
      </c>
    </row>
    <row r="19" spans="1:4" x14ac:dyDescent="0.25">
      <c r="A19" s="64" t="s">
        <v>131</v>
      </c>
      <c r="B19" s="13">
        <f t="shared" si="1"/>
        <v>0.26607820425769863</v>
      </c>
      <c r="C19" s="4">
        <f t="shared" si="0"/>
        <v>498580.63318624435</v>
      </c>
      <c r="D19" s="4">
        <v>1873812.38</v>
      </c>
    </row>
    <row r="20" spans="1:4" x14ac:dyDescent="0.25">
      <c r="A20" s="64" t="s">
        <v>132</v>
      </c>
      <c r="B20" s="13">
        <f t="shared" si="1"/>
        <v>0.26607820425769863</v>
      </c>
      <c r="C20" s="4">
        <f t="shared" si="0"/>
        <v>440149.22626512771</v>
      </c>
      <c r="D20" s="4">
        <v>1654210.0000000002</v>
      </c>
    </row>
    <row r="21" spans="1:4" x14ac:dyDescent="0.25">
      <c r="A21" s="64" t="s">
        <v>133</v>
      </c>
      <c r="B21" s="13">
        <f t="shared" si="1"/>
        <v>0.26607820425769863</v>
      </c>
      <c r="C21" s="4">
        <f t="shared" si="0"/>
        <v>138697.86180069498</v>
      </c>
      <c r="D21" s="4">
        <v>521267.28</v>
      </c>
    </row>
    <row r="22" spans="1:4" ht="15.75" thickBot="1" x14ac:dyDescent="0.3">
      <c r="A22" s="64" t="s">
        <v>137</v>
      </c>
      <c r="B22" s="13">
        <f t="shared" si="1"/>
        <v>0.26607820425769863</v>
      </c>
      <c r="C22" s="4">
        <f t="shared" si="0"/>
        <v>1524240.2774668692</v>
      </c>
      <c r="D22" s="4">
        <v>5728542.4100000001</v>
      </c>
    </row>
    <row r="23" spans="1:4" ht="15.75" thickBot="1" x14ac:dyDescent="0.3">
      <c r="A23" s="65" t="s">
        <v>138</v>
      </c>
      <c r="B23" s="67">
        <v>0.15</v>
      </c>
      <c r="C23" s="66">
        <f t="shared" si="0"/>
        <v>3785034.9</v>
      </c>
      <c r="D23" s="66">
        <v>25233566</v>
      </c>
    </row>
    <row r="25" spans="1:4" x14ac:dyDescent="0.25">
      <c r="A25" s="1" t="s">
        <v>165</v>
      </c>
      <c r="C25" s="3">
        <f>SUM(C12:C23)</f>
        <v>40232242.920748234</v>
      </c>
      <c r="D25" s="4"/>
    </row>
    <row r="29" spans="1:4" ht="15.75" thickBot="1" x14ac:dyDescent="0.3"/>
    <row r="30" spans="1:4" ht="15.75" thickBot="1" x14ac:dyDescent="0.3">
      <c r="A30" s="18"/>
      <c r="B30" t="s">
        <v>174</v>
      </c>
    </row>
  </sheetData>
  <sheetProtection selectLockedCells="1" selectUnlockedCells="1"/>
  <mergeCells count="4">
    <mergeCell ref="E4:H6"/>
    <mergeCell ref="E7:H7"/>
    <mergeCell ref="A3:D3"/>
    <mergeCell ref="A1:I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796C-48B8-44FE-A9FD-80AB4B503F8C}">
  <dimension ref="A1:E13"/>
  <sheetViews>
    <sheetView workbookViewId="0">
      <selection activeCell="B14" sqref="B14"/>
    </sheetView>
  </sheetViews>
  <sheetFormatPr defaultRowHeight="15" x14ac:dyDescent="0.25"/>
  <cols>
    <col min="1" max="1" width="25.85546875" bestFit="1" customWidth="1"/>
    <col min="2" max="2" width="10.85546875" bestFit="1" customWidth="1"/>
    <col min="3" max="3" width="12.5703125" bestFit="1" customWidth="1"/>
  </cols>
  <sheetData>
    <row r="1" spans="1:5" x14ac:dyDescent="0.25">
      <c r="A1" t="s">
        <v>80</v>
      </c>
    </row>
    <row r="2" spans="1:5" ht="15.75" thickBot="1" x14ac:dyDescent="0.3">
      <c r="A2" t="s">
        <v>82</v>
      </c>
      <c r="B2" t="s">
        <v>83</v>
      </c>
      <c r="C2" t="s">
        <v>84</v>
      </c>
    </row>
    <row r="3" spans="1:5" ht="15.75" thickBot="1" x14ac:dyDescent="0.3">
      <c r="A3" s="5">
        <v>6428</v>
      </c>
      <c r="B3" s="12">
        <v>5000</v>
      </c>
      <c r="C3" s="5">
        <f>A3*B3</f>
        <v>32140000</v>
      </c>
      <c r="E3" t="s">
        <v>170</v>
      </c>
    </row>
    <row r="4" spans="1:5" x14ac:dyDescent="0.25">
      <c r="A4" s="5">
        <v>19285</v>
      </c>
      <c r="E4" t="s">
        <v>171</v>
      </c>
    </row>
    <row r="6" spans="1:5" x14ac:dyDescent="0.25">
      <c r="A6" t="s">
        <v>81</v>
      </c>
    </row>
    <row r="7" spans="1:5" ht="15.75" thickBot="1" x14ac:dyDescent="0.3">
      <c r="A7" t="s">
        <v>82</v>
      </c>
      <c r="B7" t="s">
        <v>83</v>
      </c>
      <c r="C7" t="s">
        <v>84</v>
      </c>
    </row>
    <row r="8" spans="1:5" ht="15.75" thickBot="1" x14ac:dyDescent="0.3">
      <c r="A8" s="5">
        <v>29629</v>
      </c>
      <c r="B8" s="12">
        <v>3000</v>
      </c>
      <c r="C8" s="5">
        <f>A8*B8</f>
        <v>88887000</v>
      </c>
    </row>
    <row r="12" spans="1:5" ht="15.75" thickBot="1" x14ac:dyDescent="0.3"/>
    <row r="13" spans="1:5" ht="15.75" thickBot="1" x14ac:dyDescent="0.3">
      <c r="A13" s="18"/>
      <c r="B13" t="s">
        <v>173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Celkový přehled</vt:lpstr>
      <vt:lpstr>Náklady a výnosy</vt:lpstr>
      <vt:lpstr>Úvěr</vt:lpstr>
      <vt:lpstr>Náklady nad rámec</vt:lpstr>
      <vt:lpstr>Prodej pozemků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Hamáček Petr</dc:creator>
  <cp:lastModifiedBy>Hollerová Lenka</cp:lastModifiedBy>
  <dcterms:created xsi:type="dcterms:W3CDTF">2021-01-21T08:04:29Z</dcterms:created>
  <dcterms:modified xsi:type="dcterms:W3CDTF">2021-02-16T08:56:07Z</dcterms:modified>
</cp:coreProperties>
</file>