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sec\Desktop\MOJE\Akce zbytek\!Naše akce\Rozpočet Velké Chvojno\"/>
    </mc:Choice>
  </mc:AlternateContent>
  <xr:revisionPtr revIDLastSave="0" documentId="13_ncr:1_{7AFC9890-4B5A-4E19-92B0-F1C2C99D50D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tavba" sheetId="1" r:id="rId1"/>
    <sheet name="VzorPolozky" sheetId="10" state="hidden" r:id="rId2"/>
    <sheet name="02 1 Pol" sheetId="13" r:id="rId3"/>
  </sheets>
  <externalReferences>
    <externalReference r:id="rId4"/>
  </externalReferences>
  <definedNames>
    <definedName name="CelkemDPHVypocet" localSheetId="0">Stavba!$H$37</definedName>
    <definedName name="CenaCelkem">Stavba!$G$24</definedName>
    <definedName name="CenaCelkemBezDPH">Stavba!$G$23</definedName>
    <definedName name="CenaCelkemVypocet" localSheetId="0">Stavba!$I$37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Stavba!$G$19</definedName>
    <definedName name="DPHZakl">Stavba!$G$21</definedName>
    <definedName name="dpsc" localSheetId="0">Stavba!$D$13</definedName>
    <definedName name="IČO" localSheetId="0">Stavba!$I$11</definedName>
    <definedName name="Mena">Stavba!$J$24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'02 1 Pol'!$1:$7</definedName>
    <definedName name="oadresa">Stavba!$D$6</definedName>
    <definedName name="Objednatel" localSheetId="0">Stavba!$D$5</definedName>
    <definedName name="Objekt" localSheetId="0">Stavba!$B$33</definedName>
    <definedName name="_xlnm.Print_Area" localSheetId="2">'02 1 Pol'!$A$1:$X$68</definedName>
    <definedName name="_xlnm.Print_Area" localSheetId="0">Stavba!$A$1:$J$50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Stavba!$E$18</definedName>
    <definedName name="SazbaDPH1">'[1]Krycí list'!$C$30</definedName>
    <definedName name="SazbaDPH2" localSheetId="0">Stavba!$E$20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Stavba!$B$1:$J$31</definedName>
    <definedName name="ZakladDPHSni">Stavba!$G$18</definedName>
    <definedName name="ZakladDPHSniVypocet" localSheetId="0">Stavba!$F$37</definedName>
    <definedName name="ZakladDPHZakl">Stavba!$G$20</definedName>
    <definedName name="ZakladDPHZaklVypocet" localSheetId="0">Stavba!$G$37</definedName>
    <definedName name="ZaObjednatele">Stavba!$G$29</definedName>
    <definedName name="Zaokrouhleni">Stavba!$G$22</definedName>
    <definedName name="ZaZhotovitele">Stavba!$D$29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3" l="1"/>
  <c r="E18" i="13"/>
  <c r="E24" i="13"/>
  <c r="G53" i="13" l="1"/>
  <c r="M53" i="13" s="1"/>
  <c r="I53" i="13"/>
  <c r="K53" i="13"/>
  <c r="O53" i="13"/>
  <c r="Q53" i="13"/>
  <c r="V53" i="13"/>
  <c r="V56" i="13"/>
  <c r="Q56" i="13"/>
  <c r="O56" i="13"/>
  <c r="K56" i="13"/>
  <c r="I56" i="13"/>
  <c r="G56" i="13"/>
  <c r="M56" i="13" s="1"/>
  <c r="V55" i="13"/>
  <c r="Q55" i="13"/>
  <c r="O55" i="13"/>
  <c r="K55" i="13"/>
  <c r="I55" i="13"/>
  <c r="G55" i="13"/>
  <c r="M55" i="13" s="1"/>
  <c r="V54" i="13"/>
  <c r="Q54" i="13"/>
  <c r="O54" i="13"/>
  <c r="K54" i="13"/>
  <c r="I54" i="13"/>
  <c r="G54" i="13"/>
  <c r="M54" i="13" s="1"/>
  <c r="V52" i="13"/>
  <c r="Q52" i="13"/>
  <c r="O52" i="13"/>
  <c r="K52" i="13"/>
  <c r="I52" i="13"/>
  <c r="G52" i="13"/>
  <c r="M52" i="13" s="1"/>
  <c r="V51" i="13"/>
  <c r="Q51" i="13"/>
  <c r="O51" i="13"/>
  <c r="K51" i="13"/>
  <c r="I51" i="13"/>
  <c r="G51" i="13"/>
  <c r="M51" i="13" l="1"/>
  <c r="M50" i="13" s="1"/>
  <c r="G50" i="13"/>
  <c r="I47" i="1" s="1"/>
  <c r="O50" i="13"/>
  <c r="Q50" i="13"/>
  <c r="V50" i="13"/>
  <c r="I50" i="13"/>
  <c r="K50" i="13"/>
  <c r="E14" i="13" l="1"/>
  <c r="Q14" i="13" s="1"/>
  <c r="V31" i="13"/>
  <c r="Q31" i="13"/>
  <c r="O31" i="13"/>
  <c r="K31" i="13"/>
  <c r="I31" i="13"/>
  <c r="G31" i="13"/>
  <c r="M31" i="13" s="1"/>
  <c r="E28" i="13"/>
  <c r="I14" i="13" l="1"/>
  <c r="O14" i="13"/>
  <c r="K14" i="13"/>
  <c r="V14" i="13"/>
  <c r="G14" i="13"/>
  <c r="V28" i="13"/>
  <c r="Q28" i="13"/>
  <c r="K28" i="13"/>
  <c r="O28" i="13"/>
  <c r="I28" i="13"/>
  <c r="G28" i="13"/>
  <c r="M28" i="13" s="1"/>
  <c r="E30" i="13"/>
  <c r="M14" i="13" l="1"/>
  <c r="Q30" i="13"/>
  <c r="O30" i="13"/>
  <c r="K30" i="13"/>
  <c r="I30" i="13"/>
  <c r="G30" i="13"/>
  <c r="M30" i="13" s="1"/>
  <c r="V30" i="13"/>
  <c r="C44" i="13" l="1"/>
  <c r="E44" i="13" s="1"/>
  <c r="E49" i="13"/>
  <c r="V49" i="13" s="1"/>
  <c r="V48" i="13"/>
  <c r="Q48" i="13"/>
  <c r="O48" i="13"/>
  <c r="K48" i="13"/>
  <c r="I48" i="13"/>
  <c r="G48" i="13"/>
  <c r="M48" i="13" s="1"/>
  <c r="E45" i="13" l="1"/>
  <c r="E43" i="13" s="1"/>
  <c r="G49" i="13"/>
  <c r="M49" i="13" s="1"/>
  <c r="I49" i="13"/>
  <c r="K49" i="13"/>
  <c r="O49" i="13"/>
  <c r="Q49" i="13"/>
  <c r="G43" i="13" l="1"/>
  <c r="M43" i="13" s="1"/>
  <c r="K43" i="13"/>
  <c r="O43" i="13"/>
  <c r="V43" i="13"/>
  <c r="I43" i="13"/>
  <c r="Q43" i="13"/>
  <c r="E9" i="13"/>
  <c r="E19" i="13"/>
  <c r="E17" i="13"/>
  <c r="E26" i="13"/>
  <c r="E41" i="13"/>
  <c r="E38" i="13"/>
  <c r="E36" i="13" s="1"/>
  <c r="E47" i="13"/>
  <c r="E10" i="13" l="1"/>
  <c r="E21" i="13" s="1"/>
  <c r="O24" i="13"/>
  <c r="V24" i="13"/>
  <c r="K24" i="13"/>
  <c r="I24" i="13"/>
  <c r="G24" i="13"/>
  <c r="M24" i="13" s="1"/>
  <c r="Q24" i="13"/>
  <c r="G26" i="13"/>
  <c r="G23" i="13" s="1"/>
  <c r="V26" i="13"/>
  <c r="Q26" i="13"/>
  <c r="O26" i="13"/>
  <c r="K26" i="13"/>
  <c r="I26" i="13"/>
  <c r="E42" i="13"/>
  <c r="E40" i="13" s="1"/>
  <c r="E62" i="13" s="1"/>
  <c r="V19" i="13"/>
  <c r="Q19" i="13"/>
  <c r="O19" i="13"/>
  <c r="K19" i="13"/>
  <c r="I19" i="13"/>
  <c r="G19" i="13"/>
  <c r="M19" i="13" s="1"/>
  <c r="V17" i="13"/>
  <c r="Q17" i="13"/>
  <c r="O17" i="13"/>
  <c r="K17" i="13"/>
  <c r="I17" i="13"/>
  <c r="G17" i="13"/>
  <c r="V9" i="13"/>
  <c r="Q9" i="13"/>
  <c r="O9" i="13"/>
  <c r="K9" i="13"/>
  <c r="I9" i="13"/>
  <c r="G9" i="13"/>
  <c r="I45" i="1" l="1"/>
  <c r="M17" i="13"/>
  <c r="M26" i="13"/>
  <c r="M9" i="13"/>
  <c r="E22" i="13"/>
  <c r="V22" i="13" s="1"/>
  <c r="E60" i="13"/>
  <c r="G62" i="13"/>
  <c r="G61" i="13" s="1"/>
  <c r="I49" i="1" s="1"/>
  <c r="V62" i="13"/>
  <c r="Q62" i="13"/>
  <c r="O62" i="13"/>
  <c r="K62" i="13"/>
  <c r="I62" i="13"/>
  <c r="G10" i="13"/>
  <c r="M10" i="13" s="1"/>
  <c r="I10" i="13"/>
  <c r="I21" i="13"/>
  <c r="K10" i="13"/>
  <c r="Q10" i="13"/>
  <c r="K21" i="13"/>
  <c r="V10" i="13"/>
  <c r="O21" i="13"/>
  <c r="V21" i="13"/>
  <c r="G21" i="13"/>
  <c r="M21" i="13" s="1"/>
  <c r="O10" i="13"/>
  <c r="Q21" i="13"/>
  <c r="G33" i="13"/>
  <c r="I33" i="13"/>
  <c r="K33" i="13"/>
  <c r="O33" i="13"/>
  <c r="Q33" i="13"/>
  <c r="V33" i="13"/>
  <c r="G34" i="13"/>
  <c r="M34" i="13" s="1"/>
  <c r="I34" i="13"/>
  <c r="K34" i="13"/>
  <c r="O34" i="13"/>
  <c r="Q34" i="13"/>
  <c r="V34" i="13"/>
  <c r="G35" i="13"/>
  <c r="M35" i="13" s="1"/>
  <c r="I35" i="13"/>
  <c r="K35" i="13"/>
  <c r="O35" i="13"/>
  <c r="Q35" i="13"/>
  <c r="V35" i="13"/>
  <c r="G36" i="13"/>
  <c r="M36" i="13" s="1"/>
  <c r="I36" i="13"/>
  <c r="K36" i="13"/>
  <c r="O36" i="13"/>
  <c r="Q36" i="13"/>
  <c r="V36" i="13"/>
  <c r="G39" i="13"/>
  <c r="M39" i="13" s="1"/>
  <c r="I39" i="13"/>
  <c r="K39" i="13"/>
  <c r="O39" i="13"/>
  <c r="Q39" i="13"/>
  <c r="V39" i="13"/>
  <c r="G40" i="13"/>
  <c r="M40" i="13" s="1"/>
  <c r="I40" i="13"/>
  <c r="K40" i="13"/>
  <c r="O40" i="13"/>
  <c r="Q40" i="13"/>
  <c r="V40" i="13"/>
  <c r="G46" i="13"/>
  <c r="M46" i="13" s="1"/>
  <c r="I46" i="13"/>
  <c r="K46" i="13"/>
  <c r="O46" i="13"/>
  <c r="Q46" i="13"/>
  <c r="V46" i="13"/>
  <c r="G47" i="13"/>
  <c r="M47" i="13" s="1"/>
  <c r="I47" i="13"/>
  <c r="K47" i="13"/>
  <c r="O47" i="13"/>
  <c r="Q47" i="13"/>
  <c r="V47" i="13"/>
  <c r="G32" i="13" l="1"/>
  <c r="I46" i="1" s="1"/>
  <c r="O22" i="13"/>
  <c r="I22" i="13"/>
  <c r="Q22" i="13"/>
  <c r="K22" i="13"/>
  <c r="G22" i="13"/>
  <c r="G8" i="13" s="1"/>
  <c r="M33" i="13"/>
  <c r="M32" i="13" s="1"/>
  <c r="M23" i="13" s="1"/>
  <c r="E59" i="13"/>
  <c r="E58" i="13"/>
  <c r="O60" i="13"/>
  <c r="I60" i="13"/>
  <c r="Q60" i="13"/>
  <c r="V60" i="13"/>
  <c r="G60" i="13"/>
  <c r="M60" i="13" s="1"/>
  <c r="K60" i="13"/>
  <c r="M62" i="13"/>
  <c r="V8" i="13"/>
  <c r="K32" i="13"/>
  <c r="K23" i="13" s="1"/>
  <c r="M8" i="13"/>
  <c r="V32" i="13"/>
  <c r="V23" i="13" s="1"/>
  <c r="O8" i="13"/>
  <c r="I8" i="13"/>
  <c r="I32" i="13"/>
  <c r="I23" i="13" s="1"/>
  <c r="Q32" i="13"/>
  <c r="Q23" i="13" s="1"/>
  <c r="K8" i="13"/>
  <c r="O32" i="13"/>
  <c r="O23" i="13" s="1"/>
  <c r="Q8" i="13"/>
  <c r="G34" i="1"/>
  <c r="J23" i="1"/>
  <c r="J21" i="1"/>
  <c r="G33" i="1"/>
  <c r="F33" i="1"/>
  <c r="J18" i="1"/>
  <c r="J19" i="1"/>
  <c r="J20" i="1"/>
  <c r="J22" i="1"/>
  <c r="E19" i="1"/>
  <c r="E21" i="1"/>
  <c r="M22" i="13" l="1"/>
  <c r="I44" i="1"/>
  <c r="G58" i="13"/>
  <c r="I58" i="13"/>
  <c r="O58" i="13"/>
  <c r="K58" i="13"/>
  <c r="V58" i="13"/>
  <c r="Q58" i="13"/>
  <c r="K59" i="13"/>
  <c r="O59" i="13"/>
  <c r="I59" i="13"/>
  <c r="G59" i="13"/>
  <c r="M59" i="13" s="1"/>
  <c r="V59" i="13"/>
  <c r="Q59" i="13"/>
  <c r="M61" i="13"/>
  <c r="F34" i="1"/>
  <c r="G57" i="13" l="1"/>
  <c r="G64" i="13" s="1"/>
  <c r="M58" i="13"/>
  <c r="M57" i="13" s="1"/>
  <c r="H34" i="1"/>
  <c r="I16" i="1" l="1"/>
  <c r="I48" i="1"/>
  <c r="I50" i="1" s="1"/>
  <c r="F36" i="1" s="1"/>
  <c r="I34" i="1"/>
  <c r="A18" i="1"/>
  <c r="G20" i="1" l="1"/>
  <c r="A20" i="1" s="1"/>
  <c r="G21" i="1" s="1"/>
  <c r="H35" i="1" s="1"/>
  <c r="H37" i="1" s="1"/>
  <c r="G36" i="1"/>
  <c r="G37" i="1" s="1"/>
  <c r="G35" i="1"/>
  <c r="F37" i="1"/>
  <c r="A19" i="1"/>
  <c r="G19" i="1"/>
  <c r="A22" i="1" l="1"/>
  <c r="G24" i="1" s="1"/>
  <c r="G22" i="1" s="1"/>
  <c r="I35" i="1"/>
  <c r="I37" i="1" s="1"/>
  <c r="A21" i="1"/>
  <c r="H36" i="1"/>
  <c r="I36" i="1" s="1"/>
  <c r="G23" i="1"/>
  <c r="A24" i="1" l="1"/>
  <c r="I61" i="13"/>
  <c r="I57" i="13" s="1"/>
  <c r="K61" i="13"/>
  <c r="K57" i="13" s="1"/>
  <c r="Q61" i="13"/>
  <c r="Q57" i="13" s="1"/>
  <c r="V61" i="13"/>
  <c r="V57" i="13" s="1"/>
  <c r="O61" i="13"/>
  <c r="O5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Člověk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<sst xmlns="http://schemas.openxmlformats.org/spreadsheetml/2006/main" count="343" uniqueCount="170">
  <si>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</si>
  <si>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</si>
  <si>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</si>
  <si>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</si>
  <si>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</si>
  <si>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</si>
  <si>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</si>
  <si>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</si>
  <si>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</si>
  <si>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</si>
  <si>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</si>
  <si>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</si>
  <si>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</si>
  <si>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</si>
  <si>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</si>
  <si>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</si>
  <si>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</si>
  <si>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</si>
  <si>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</si>
  <si>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</si>
  <si>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</si>
  <si>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</si>
  <si>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</si>
  <si>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</si>
  <si>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</si>
  <si>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</si>
  <si>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</si>
  <si>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</si>
  <si>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</si>
  <si>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</si>
  <si>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</si>
  <si>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</si>
  <si>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</si>
  <si>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</si>
  <si>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</si>
  <si>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</si>
  <si>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</si>
  <si>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Stavba</t>
  </si>
  <si>
    <t>1</t>
  </si>
  <si>
    <t>Stavební rozpočet</t>
  </si>
  <si>
    <t>02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</si>
  <si>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</si>
  <si>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</si>
  <si>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</si>
  <si>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</si>
  <si>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</si>
  <si>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</si>
  <si>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</si>
  <si>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99</t>
  </si>
  <si>
    <t>Staveništní přesun hmot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</si>
  <si>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</si>
  <si>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</si>
  <si>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</si>
  <si>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</si>
  <si>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</si>
  <si>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</si>
  <si>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</si>
  <si>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</si>
  <si>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</si>
  <si>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</si>
  <si>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</si>
  <si>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</si>
  <si>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</si>
  <si>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</si>
  <si>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</si>
  <si>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</si>
  <si>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</si>
  <si>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</si>
  <si>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</si>
  <si>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</si>
  <si>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</si>
  <si>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</si>
  <si>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m3</t>
  </si>
  <si>
    <t>RTS 22/ II</t>
  </si>
  <si>
    <t>Práce</t>
  </si>
  <si>
    <t>Odkopávky nezapažené v hor. 3 do 100 m3</t>
  </si>
  <si>
    <t>Zásyp ruční se zhutněním</t>
  </si>
  <si>
    <t>Obsyp objektu bez prohození sypaniny</t>
  </si>
  <si>
    <t>Vodorovné přemístění výkopku z hor.1-4 do 50 m</t>
  </si>
  <si>
    <t>m2</t>
  </si>
  <si>
    <t>kus</t>
  </si>
  <si>
    <t>t</t>
  </si>
  <si>
    <t>SPCM</t>
  </si>
  <si>
    <t>Specifikace</t>
  </si>
  <si>
    <t>m</t>
  </si>
  <si>
    <t>998011001</t>
  </si>
  <si>
    <t>Přesun hmot pro budovy zděné výšky do 6 m</t>
  </si>
  <si>
    <t>564871111</t>
  </si>
  <si>
    <t>Podklad ze štěrkodrti po zhutnění tloušťky 25 cm štěrkodrť frakce 0-32 mm</t>
  </si>
  <si>
    <t>564801112</t>
  </si>
  <si>
    <t>Podklad ze štěrkodrti po zhutnění tloušťky 4 cm, štěrkodrť frakce 4-8 mm</t>
  </si>
  <si>
    <t>596921111</t>
  </si>
  <si>
    <t>Kladení bet.veget.dlaždic,lože 40 mm,pl.do 50 m2</t>
  </si>
  <si>
    <t>59228284</t>
  </si>
  <si>
    <t>Tvánice zatravňovací 600x400x80 mm přírodní</t>
  </si>
  <si>
    <t>Kladení zámkové dlažby tl. 6 cm do drtě tl. 4 cm</t>
  </si>
  <si>
    <t>59245308</t>
  </si>
  <si>
    <t>Dlažba BEST KLASIKO přírodní  20 x10 x 6</t>
  </si>
  <si>
    <t>Osazení záhon.obrubníků do lože z C 12/15 s opěrou</t>
  </si>
  <si>
    <t>59217335</t>
  </si>
  <si>
    <t>Obrubník zahradní ABO 10-20 1000/50/250 mm šedý</t>
  </si>
  <si>
    <t>220/(0,4*0,6)</t>
  </si>
  <si>
    <t>Koeficient ztratné (prořez) 5% : 0,05</t>
  </si>
  <si>
    <t>1021</t>
  </si>
  <si>
    <t>Sportovní areál Velké Chvojno</t>
  </si>
  <si>
    <t>Venkovní plochy</t>
  </si>
  <si>
    <t>59217336</t>
  </si>
  <si>
    <t>Obrubník silniční BEST MONO II standard přírodní 150x1000x250 mm</t>
  </si>
  <si>
    <t>Osazení silničních obrubníků do lože z C 12/15 s opěrou</t>
  </si>
  <si>
    <t>98</t>
  </si>
  <si>
    <t>Přesuny sutí a vybouraných hmot</t>
  </si>
  <si>
    <t>Poplatek za uložení stavebního odpadu na recyklační skládce (skládkovné) zeminy a kamení zatříděného do Katalogu odpadů pod kódem 17 05 04</t>
  </si>
  <si>
    <t>997002511</t>
  </si>
  <si>
    <t xml:space="preserve">Vodorovné přemístění suti a vybouraných hmot bez naložení ale se složením a urovnáním do 1 km   </t>
  </si>
  <si>
    <t>997002611</t>
  </si>
  <si>
    <t xml:space="preserve">Nakládání suti a vybouraných hmot   </t>
  </si>
  <si>
    <t>Geotextilie FILTEK 300 g/m2 š. 200cm 100% PP</t>
  </si>
  <si>
    <t>Koeficient ztratné 5% + přesahy 10%: 0,15</t>
  </si>
  <si>
    <t>162351103</t>
  </si>
  <si>
    <t>Úprava pozemku s rozpojením a přehrnutím včetně urovnání v zem skup 3</t>
  </si>
  <si>
    <t>181101133</t>
  </si>
  <si>
    <t>121103111</t>
  </si>
  <si>
    <t>Skrývka zemin schopných zúrodnění</t>
  </si>
  <si>
    <t>122251104</t>
  </si>
  <si>
    <t>174111101</t>
  </si>
  <si>
    <t>175111201</t>
  </si>
  <si>
    <t>596211112</t>
  </si>
  <si>
    <t>919726122.MTM</t>
  </si>
  <si>
    <t>916561112</t>
  </si>
  <si>
    <t>916131112</t>
  </si>
  <si>
    <t>171201231</t>
  </si>
  <si>
    <t>2</t>
  </si>
  <si>
    <t>Základy a zvláštní zakládání</t>
  </si>
  <si>
    <t>Železobeton základových desek C 25/30</t>
  </si>
  <si>
    <t>Hloubení rýh š.do 60 cm v hor.3 do 50 m3, STROJNĚ</t>
  </si>
  <si>
    <t>132251101</t>
  </si>
  <si>
    <t>273321511</t>
  </si>
  <si>
    <t>274351121</t>
  </si>
  <si>
    <t>Bednění stěn základových pasů - zřízení</t>
  </si>
  <si>
    <t>Bednění stěn základových pasů - odstranění</t>
  </si>
  <si>
    <t>274351122</t>
  </si>
  <si>
    <t>274361411</t>
  </si>
  <si>
    <t>Výztuž základových pasů ze svařovaných sítí p, hmotnosti do 3,5 kg/m3</t>
  </si>
  <si>
    <t>8</t>
  </si>
  <si>
    <t>Trubní vedení</t>
  </si>
  <si>
    <t>Vlastní</t>
  </si>
  <si>
    <t>RTS 21/ II</t>
  </si>
  <si>
    <t>831350113RAB</t>
  </si>
  <si>
    <t>Kanalizační přípojka z trub PVC, D 160 mm rýha šířky 0,8 m, hloubky 1,2 m</t>
  </si>
  <si>
    <t>894431411RAA</t>
  </si>
  <si>
    <t>Šachta D 600 mm, dl.šach.roury 1,00 m, přímá dno KG D 160 mm, poklop litina 12,5 t</t>
  </si>
  <si>
    <t>894412211</t>
  </si>
  <si>
    <t>Šachta, DN 1000, stěna 90 mm, dno přímé V max. 40 hloubka dna 2,26 m, poklop litina 12,5 t</t>
  </si>
  <si>
    <t>Agregovaná položka</t>
  </si>
  <si>
    <t>821176244R00</t>
  </si>
  <si>
    <t>Potrubí KG dešťové D 160 x 4,0 mm</t>
  </si>
  <si>
    <t>213150010RAA</t>
  </si>
  <si>
    <t>soubor</t>
  </si>
  <si>
    <t>28697982R</t>
  </si>
  <si>
    <t>Nádrž podzemní akumulační Li-lo 6500 l vč. ponorného čerpadla viz TZ PD</t>
  </si>
  <si>
    <t>Vsakovací nádrž proobjekt plocha střechy do 180m2</t>
  </si>
  <si>
    <t>odhad výměry : 12,0</t>
  </si>
  <si>
    <t>274313711R</t>
  </si>
  <si>
    <t>Beton prostý C 25/30</t>
  </si>
  <si>
    <t>151*0,35</t>
  </si>
  <si>
    <t>220*0,37</t>
  </si>
  <si>
    <t>pasy 40 cm : 54*0,4</t>
  </si>
  <si>
    <t>kanalizace: 11*1,29*0,3+54,8*1,451*0,4+0,8*0,8*1,6+1,2*1,2*1,6</t>
  </si>
  <si>
    <t>obetonování podzemních objektů: 2,85*2*0,15+2,3*2,85*0,15+2,3*2*0,15*2+1,1*1,1*0,1+0,8*0,8*0,1</t>
  </si>
  <si>
    <t>7*0,6*0,4*4*8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</si>
</sst>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;\-#,##0.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wrapText="1"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4" fontId="7" fillId="2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5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 shrinkToFit="1"/>
    </xf>
    <xf numFmtId="4" fontId="15" fillId="0" borderId="0" xfId="0" applyNumberFormat="1" applyFont="1" applyAlignment="1">
      <alignment vertical="top" shrinkToFit="1"/>
    </xf>
    <xf numFmtId="4" fontId="15" fillId="3" borderId="0" xfId="0" applyNumberFormat="1" applyFont="1" applyFill="1" applyAlignment="1" applyProtection="1">
      <alignment vertical="top" shrinkToFit="1"/>
      <protection locked="0"/>
    </xf>
    <xf numFmtId="164" fontId="16" fillId="0" borderId="0" xfId="0" applyNumberFormat="1" applyFont="1" applyAlignment="1">
      <alignment horizontal="center" vertical="top" wrapText="1" shrinkToFit="1"/>
    </xf>
    <xf numFmtId="164" fontId="16" fillId="0" borderId="0" xfId="0" applyNumberFormat="1" applyFont="1" applyAlignment="1">
      <alignment vertical="top" wrapText="1" shrinkToFit="1"/>
    </xf>
    <xf numFmtId="164" fontId="17" fillId="0" borderId="0" xfId="0" applyNumberFormat="1" applyFont="1" applyAlignment="1">
      <alignment horizontal="center" vertical="top" wrapText="1" shrinkToFit="1"/>
    </xf>
    <xf numFmtId="164" fontId="17" fillId="0" borderId="0" xfId="0" applyNumberFormat="1" applyFont="1" applyAlignment="1">
      <alignment vertical="top" wrapText="1" shrinkToFit="1"/>
    </xf>
    <xf numFmtId="164" fontId="8" fillId="2" borderId="0" xfId="0" applyNumberFormat="1" applyFont="1" applyFill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5" fillId="0" borderId="39" xfId="0" applyFont="1" applyBorder="1" applyAlignment="1">
      <alignment vertical="top"/>
    </xf>
    <xf numFmtId="49" fontId="15" fillId="0" borderId="40" xfId="0" applyNumberFormat="1" applyFont="1" applyBorder="1" applyAlignment="1">
      <alignment vertical="top"/>
    </xf>
    <xf numFmtId="0" fontId="15" fillId="0" borderId="40" xfId="0" applyFont="1" applyBorder="1" applyAlignment="1">
      <alignment horizontal="center" vertical="top" shrinkToFit="1"/>
    </xf>
    <xf numFmtId="164" fontId="15" fillId="0" borderId="40" xfId="0" applyNumberFormat="1" applyFont="1" applyBorder="1" applyAlignment="1">
      <alignment vertical="top" shrinkToFit="1"/>
    </xf>
    <xf numFmtId="4" fontId="15" fillId="3" borderId="40" xfId="0" applyNumberFormat="1" applyFont="1" applyFill="1" applyBorder="1" applyAlignment="1" applyProtection="1">
      <alignment vertical="top" shrinkToFit="1"/>
      <protection locked="0"/>
    </xf>
    <xf numFmtId="4" fontId="15" fillId="0" borderId="41" xfId="0" applyNumberFormat="1" applyFont="1" applyBorder="1" applyAlignment="1">
      <alignment vertical="top" shrinkToFit="1"/>
    </xf>
    <xf numFmtId="0" fontId="15" fillId="0" borderId="42" xfId="0" applyFont="1" applyBorder="1" applyAlignment="1">
      <alignment vertical="top"/>
    </xf>
    <xf numFmtId="49" fontId="15" fillId="0" borderId="43" xfId="0" applyNumberFormat="1" applyFont="1" applyBorder="1" applyAlignment="1">
      <alignment vertical="top"/>
    </xf>
    <xf numFmtId="0" fontId="15" fillId="0" borderId="43" xfId="0" applyFont="1" applyBorder="1" applyAlignment="1">
      <alignment horizontal="center" vertical="top" shrinkToFit="1"/>
    </xf>
    <xf numFmtId="164" fontId="15" fillId="0" borderId="43" xfId="0" applyNumberFormat="1" applyFont="1" applyBorder="1" applyAlignment="1">
      <alignment vertical="top" shrinkToFit="1"/>
    </xf>
    <xf numFmtId="4" fontId="15" fillId="3" borderId="43" xfId="0" applyNumberFormat="1" applyFont="1" applyFill="1" applyBorder="1" applyAlignment="1" applyProtection="1">
      <alignment vertical="top" shrinkToFit="1"/>
      <protection locked="0"/>
    </xf>
    <xf numFmtId="4" fontId="15" fillId="0" borderId="44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5" fillId="0" borderId="40" xfId="0" applyNumberFormat="1" applyFont="1" applyBorder="1" applyAlignment="1">
      <alignment horizontal="left" vertical="top" wrapText="1"/>
    </xf>
    <xf numFmtId="164" fontId="16" fillId="0" borderId="0" xfId="0" quotePrefix="1" applyNumberFormat="1" applyFont="1" applyAlignment="1">
      <alignment horizontal="left" vertical="top" wrapText="1"/>
    </xf>
    <xf numFmtId="49" fontId="15" fillId="0" borderId="43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31" xfId="0" applyFont="1" applyBorder="1" applyAlignment="1">
      <alignment horizontal="left" vertical="center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right" vertical="center"/>
    </xf>
    <xf numFmtId="0" fontId="15" fillId="0" borderId="43" xfId="0" applyFont="1" applyBorder="1" applyAlignment="1">
      <alignment vertical="top"/>
    </xf>
    <xf numFmtId="0" fontId="15" fillId="0" borderId="43" xfId="0" applyFont="1" applyBorder="1" applyAlignment="1">
      <alignment horizontal="left" vertical="top" wrapText="1"/>
    </xf>
    <xf numFmtId="165" fontId="15" fillId="0" borderId="43" xfId="0" applyNumberFormat="1" applyFont="1" applyBorder="1" applyAlignment="1">
      <alignment vertical="top" shrinkToFit="1"/>
    </xf>
    <xf numFmtId="39" fontId="15" fillId="3" borderId="43" xfId="0" applyNumberFormat="1" applyFont="1" applyFill="1" applyBorder="1" applyAlignment="1" applyProtection="1">
      <alignment vertical="top" shrinkToFit="1"/>
      <protection locked="0"/>
    </xf>
    <xf numFmtId="0" fontId="15" fillId="0" borderId="45" xfId="0" applyFont="1" applyBorder="1" applyAlignment="1">
      <alignment vertical="top"/>
    </xf>
    <xf numFmtId="49" fontId="15" fillId="0" borderId="46" xfId="0" applyNumberFormat="1" applyFont="1" applyBorder="1" applyAlignment="1">
      <alignment vertical="top"/>
    </xf>
    <xf numFmtId="49" fontId="15" fillId="0" borderId="46" xfId="0" applyNumberFormat="1" applyFont="1" applyBorder="1" applyAlignment="1">
      <alignment horizontal="left" vertical="top" wrapText="1"/>
    </xf>
    <xf numFmtId="0" fontId="15" fillId="0" borderId="46" xfId="0" applyFont="1" applyBorder="1" applyAlignment="1">
      <alignment horizontal="center" vertical="top" shrinkToFit="1"/>
    </xf>
    <xf numFmtId="164" fontId="15" fillId="0" borderId="46" xfId="0" applyNumberFormat="1" applyFont="1" applyBorder="1" applyAlignment="1">
      <alignment vertical="top" shrinkToFit="1"/>
    </xf>
    <xf numFmtId="4" fontId="15" fillId="3" borderId="46" xfId="0" applyNumberFormat="1" applyFont="1" applyFill="1" applyBorder="1" applyAlignment="1" applyProtection="1">
      <alignment vertical="top" shrinkToFit="1"/>
      <protection locked="0"/>
    </xf>
    <xf numFmtId="4" fontId="15" fillId="0" borderId="47" xfId="0" applyNumberFormat="1" applyFont="1" applyBorder="1" applyAlignment="1">
      <alignment vertical="top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O53"/>
  <sheetViews>
    <sheetView showGridLines="0" topLeftCell="B1" zoomScaleNormal="100" zoomScaleSheetLayoutView="75" workbookViewId="0">
      <selection activeCell="F37" sqref="F3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6" t="s">
        <v>34</v>
      </c>
      <c r="B1" s="194" t="s">
        <v>4</v>
      </c>
      <c r="C1" s="195"/>
      <c r="D1" s="195"/>
      <c r="E1" s="195"/>
      <c r="F1" s="195"/>
      <c r="G1" s="195"/>
      <c r="H1" s="195"/>
      <c r="I1" s="195"/>
      <c r="J1" s="196"/>
    </row>
    <row r="2" spans="1:15" ht="36" customHeight="1" x14ac:dyDescent="0.25">
      <c r="A2" s="2"/>
      <c r="B2" s="75" t="s">
        <v>24</v>
      </c>
      <c r="C2" s="76"/>
      <c r="D2" s="77" t="s">
        <v>103</v>
      </c>
      <c r="E2" s="200" t="s">
        <v>104</v>
      </c>
      <c r="F2" s="201"/>
      <c r="G2" s="201"/>
      <c r="H2" s="201"/>
      <c r="I2" s="201"/>
      <c r="J2" s="202"/>
      <c r="O2" s="1"/>
    </row>
    <row r="3" spans="1:15" ht="27" hidden="1" customHeight="1" x14ac:dyDescent="0.25">
      <c r="A3" s="2"/>
      <c r="B3" s="78"/>
      <c r="C3" s="76"/>
      <c r="D3" s="79"/>
      <c r="E3" s="203"/>
      <c r="F3" s="204"/>
      <c r="G3" s="204"/>
      <c r="H3" s="204"/>
      <c r="I3" s="204"/>
      <c r="J3" s="205"/>
    </row>
    <row r="4" spans="1:15" ht="23.25" customHeight="1" x14ac:dyDescent="0.25">
      <c r="A4" s="2"/>
      <c r="B4" s="80"/>
      <c r="C4" s="81"/>
      <c r="D4" s="82"/>
      <c r="E4" s="213"/>
      <c r="F4" s="213"/>
      <c r="G4" s="213"/>
      <c r="H4" s="213"/>
      <c r="I4" s="213"/>
      <c r="J4" s="214"/>
    </row>
    <row r="5" spans="1:15" ht="24" customHeight="1" x14ac:dyDescent="0.25">
      <c r="A5" s="2"/>
      <c r="B5" s="30" t="s">
        <v>23</v>
      </c>
      <c r="D5" s="217"/>
      <c r="E5" s="218"/>
      <c r="F5" s="218"/>
      <c r="G5" s="218"/>
      <c r="H5" s="18" t="s">
        <v>36</v>
      </c>
      <c r="I5" s="21"/>
      <c r="J5" s="8"/>
    </row>
    <row r="6" spans="1:15" ht="15.75" customHeight="1" x14ac:dyDescent="0.25">
      <c r="A6" s="2"/>
      <c r="B6" s="27"/>
      <c r="C6" s="54"/>
      <c r="D6" s="219"/>
      <c r="E6" s="220"/>
      <c r="F6" s="220"/>
      <c r="G6" s="220"/>
      <c r="H6" s="18" t="s">
        <v>32</v>
      </c>
      <c r="I6" s="21"/>
      <c r="J6" s="8"/>
    </row>
    <row r="7" spans="1:15" ht="15.75" customHeight="1" x14ac:dyDescent="0.25">
      <c r="A7" s="2"/>
      <c r="B7" s="28"/>
      <c r="C7" s="55"/>
      <c r="D7" s="52"/>
      <c r="E7" s="221"/>
      <c r="F7" s="222"/>
      <c r="G7" s="222"/>
      <c r="H7" s="23"/>
      <c r="I7" s="22"/>
      <c r="J7" s="33"/>
    </row>
    <row r="8" spans="1:15" ht="24" hidden="1" customHeight="1" x14ac:dyDescent="0.25">
      <c r="A8" s="2"/>
      <c r="B8" s="30" t="s">
        <v>21</v>
      </c>
      <c r="D8" s="50"/>
      <c r="H8" s="18" t="s">
        <v>36</v>
      </c>
      <c r="I8" s="21"/>
      <c r="J8" s="8"/>
    </row>
    <row r="9" spans="1:15" ht="15.75" hidden="1" customHeight="1" x14ac:dyDescent="0.25">
      <c r="A9" s="2"/>
      <c r="B9" s="2"/>
      <c r="D9" s="50"/>
      <c r="H9" s="18" t="s">
        <v>32</v>
      </c>
      <c r="I9" s="21"/>
      <c r="J9" s="8"/>
    </row>
    <row r="10" spans="1:15" ht="15.75" hidden="1" customHeight="1" x14ac:dyDescent="0.25">
      <c r="A10" s="2"/>
      <c r="B10" s="34"/>
      <c r="C10" s="55"/>
      <c r="D10" s="52"/>
      <c r="E10" s="56"/>
      <c r="F10" s="23"/>
      <c r="G10" s="14"/>
      <c r="H10" s="14"/>
      <c r="I10" s="35"/>
      <c r="J10" s="33"/>
    </row>
    <row r="11" spans="1:15" ht="24" customHeight="1" x14ac:dyDescent="0.25">
      <c r="A11" s="2"/>
      <c r="B11" s="30" t="s">
        <v>20</v>
      </c>
      <c r="D11" s="207"/>
      <c r="E11" s="207"/>
      <c r="F11" s="207"/>
      <c r="G11" s="207"/>
      <c r="H11" s="18" t="s">
        <v>36</v>
      </c>
      <c r="I11" s="180"/>
      <c r="J11" s="8"/>
    </row>
    <row r="12" spans="1:15" ht="15.75" customHeight="1" x14ac:dyDescent="0.25">
      <c r="A12" s="2"/>
      <c r="B12" s="27"/>
      <c r="C12" s="54"/>
      <c r="D12" s="212"/>
      <c r="E12" s="212"/>
      <c r="F12" s="212"/>
      <c r="G12" s="212"/>
      <c r="H12" s="18" t="s">
        <v>32</v>
      </c>
      <c r="I12" s="180"/>
      <c r="J12" s="8"/>
    </row>
    <row r="13" spans="1:15" ht="15.75" customHeight="1" x14ac:dyDescent="0.25">
      <c r="A13" s="2"/>
      <c r="B13" s="28"/>
      <c r="C13" s="55"/>
      <c r="D13" s="181"/>
      <c r="E13" s="215"/>
      <c r="F13" s="216"/>
      <c r="G13" s="216"/>
      <c r="H13" s="182"/>
      <c r="I13" s="22"/>
      <c r="J13" s="33"/>
    </row>
    <row r="14" spans="1:15" ht="24" customHeight="1" x14ac:dyDescent="0.25">
      <c r="A14" s="2"/>
      <c r="B14" s="42" t="s">
        <v>22</v>
      </c>
      <c r="C14" s="57"/>
      <c r="D14" s="58"/>
      <c r="E14" s="59"/>
      <c r="F14" s="43"/>
      <c r="G14" s="43"/>
      <c r="H14" s="44"/>
      <c r="I14" s="43"/>
      <c r="J14" s="45"/>
    </row>
    <row r="15" spans="1:15" ht="32.25" customHeight="1" x14ac:dyDescent="0.25">
      <c r="A15" s="2"/>
      <c r="B15" s="34" t="s">
        <v>30</v>
      </c>
      <c r="C15" s="60"/>
      <c r="D15" s="53"/>
      <c r="E15" s="206"/>
      <c r="F15" s="206"/>
      <c r="G15" s="208"/>
      <c r="H15" s="208"/>
      <c r="I15" s="208" t="s">
        <v>27</v>
      </c>
      <c r="J15" s="209"/>
    </row>
    <row r="16" spans="1:15" ht="23.25" customHeight="1" x14ac:dyDescent="0.25">
      <c r="A16" s="2"/>
      <c r="B16" s="47" t="s">
        <v>27</v>
      </c>
      <c r="C16" s="63"/>
      <c r="D16" s="64"/>
      <c r="E16" s="210"/>
      <c r="F16" s="211"/>
      <c r="G16" s="210"/>
      <c r="H16" s="211"/>
      <c r="I16" s="210">
        <f>'02 1 Pol'!G64</f>
        <v>0</v>
      </c>
      <c r="J16" s="225"/>
    </row>
    <row r="17" spans="1:10" ht="33" customHeight="1" x14ac:dyDescent="0.25">
      <c r="A17" s="2"/>
      <c r="B17" s="41" t="s">
        <v>31</v>
      </c>
      <c r="C17" s="61"/>
      <c r="D17" s="62"/>
      <c r="E17" s="65"/>
      <c r="F17" s="38"/>
      <c r="G17" s="32"/>
      <c r="H17" s="32"/>
      <c r="I17" s="32"/>
      <c r="J17" s="39"/>
    </row>
    <row r="18" spans="1:10" ht="23.25" customHeight="1" x14ac:dyDescent="0.25">
      <c r="A18" s="2">
        <f>ZakladDPHSni*SazbaDPH1/100</f>
        <v>0</v>
      </c>
      <c r="B18" s="37" t="s">
        <v>13</v>
      </c>
      <c r="C18" s="61"/>
      <c r="D18" s="62"/>
      <c r="E18" s="66">
        <v>15</v>
      </c>
      <c r="F18" s="38" t="s">
        <v>0</v>
      </c>
      <c r="G18" s="223">
        <v>0</v>
      </c>
      <c r="H18" s="224"/>
      <c r="I18" s="224"/>
      <c r="J18" s="39" t="str">
        <f t="shared" ref="J18:J23" si="0">Mena</f>
        <v>CZK</v>
      </c>
    </row>
    <row r="19" spans="1:10" ht="23.25" customHeight="1" x14ac:dyDescent="0.25">
      <c r="A19" s="2">
        <f>(A18-INT(A18))*100</f>
        <v>0</v>
      </c>
      <c r="B19" s="37" t="s">
        <v>14</v>
      </c>
      <c r="C19" s="61"/>
      <c r="D19" s="62"/>
      <c r="E19" s="66">
        <f>SazbaDPH1</f>
        <v>15</v>
      </c>
      <c r="F19" s="38" t="s">
        <v>0</v>
      </c>
      <c r="G19" s="227">
        <f>A18</f>
        <v>0</v>
      </c>
      <c r="H19" s="228"/>
      <c r="I19" s="228"/>
      <c r="J19" s="39" t="str">
        <f t="shared" si="0"/>
        <v>CZK</v>
      </c>
    </row>
    <row r="20" spans="1:10" ht="23.25" customHeight="1" x14ac:dyDescent="0.25">
      <c r="A20" s="2">
        <f>ZakladDPHZakl*SazbaDPH2/100</f>
        <v>0</v>
      </c>
      <c r="B20" s="37" t="s">
        <v>15</v>
      </c>
      <c r="C20" s="61"/>
      <c r="D20" s="62"/>
      <c r="E20" s="66">
        <v>21</v>
      </c>
      <c r="F20" s="38" t="s">
        <v>0</v>
      </c>
      <c r="G20" s="227">
        <f>I16</f>
        <v>0</v>
      </c>
      <c r="H20" s="228"/>
      <c r="I20" s="228"/>
      <c r="J20" s="39" t="str">
        <f t="shared" si="0"/>
        <v>CZK</v>
      </c>
    </row>
    <row r="21" spans="1:10" ht="23.25" customHeight="1" x14ac:dyDescent="0.25">
      <c r="A21" s="2">
        <f>(A20-INT(A20))*100</f>
        <v>0</v>
      </c>
      <c r="B21" s="31" t="s">
        <v>16</v>
      </c>
      <c r="C21" s="67"/>
      <c r="D21" s="53"/>
      <c r="E21" s="68">
        <f>SazbaDPH2</f>
        <v>21</v>
      </c>
      <c r="F21" s="29" t="s">
        <v>0</v>
      </c>
      <c r="G21" s="197">
        <f>A20</f>
        <v>0</v>
      </c>
      <c r="H21" s="198"/>
      <c r="I21" s="198"/>
      <c r="J21" s="36" t="str">
        <f t="shared" si="0"/>
        <v>CZK</v>
      </c>
    </row>
    <row r="22" spans="1:10" ht="23.25" customHeight="1" thickBot="1" x14ac:dyDescent="0.3">
      <c r="A22" s="2">
        <f>ZakladDPHSni+DPHSni+ZakladDPHZakl+DPHZakl</f>
        <v>0</v>
      </c>
      <c r="B22" s="30" t="s">
        <v>5</v>
      </c>
      <c r="C22" s="69"/>
      <c r="D22" s="70"/>
      <c r="E22" s="69"/>
      <c r="F22" s="16"/>
      <c r="G22" s="199">
        <f>CenaCelkem-(ZakladDPHSni+DPHSni+ZakladDPHZakl+DPHZakl)</f>
        <v>0</v>
      </c>
      <c r="H22" s="199"/>
      <c r="I22" s="199"/>
      <c r="J22" s="40" t="str">
        <f t="shared" si="0"/>
        <v>CZK</v>
      </c>
    </row>
    <row r="23" spans="1:10" ht="27.75" hidden="1" customHeight="1" thickBot="1" x14ac:dyDescent="0.3">
      <c r="A23" s="2"/>
      <c r="B23" s="103" t="s">
        <v>25</v>
      </c>
      <c r="C23" s="104"/>
      <c r="D23" s="104"/>
      <c r="E23" s="105"/>
      <c r="F23" s="106"/>
      <c r="G23" s="226">
        <f>ZakladDPHSniVypocet+ZakladDPHZaklVypocet</f>
        <v>0</v>
      </c>
      <c r="H23" s="229"/>
      <c r="I23" s="229"/>
      <c r="J23" s="107" t="str">
        <f t="shared" si="0"/>
        <v>CZK</v>
      </c>
    </row>
    <row r="24" spans="1:10" ht="27.75" customHeight="1" thickBot="1" x14ac:dyDescent="0.3">
      <c r="A24" s="2">
        <f>(A22-INT(A22))*100</f>
        <v>0</v>
      </c>
      <c r="B24" s="103" t="s">
        <v>33</v>
      </c>
      <c r="C24" s="108"/>
      <c r="D24" s="108"/>
      <c r="E24" s="108"/>
      <c r="F24" s="109"/>
      <c r="G24" s="226">
        <f>A22</f>
        <v>0</v>
      </c>
      <c r="H24" s="226"/>
      <c r="I24" s="226"/>
      <c r="J24" s="110" t="s">
        <v>42</v>
      </c>
    </row>
    <row r="25" spans="1:10" ht="12.75" customHeight="1" x14ac:dyDescent="0.25">
      <c r="A25" s="2"/>
      <c r="B25" s="2"/>
      <c r="J25" s="9"/>
    </row>
    <row r="26" spans="1:10" ht="30" customHeight="1" x14ac:dyDescent="0.25">
      <c r="A26" s="2"/>
      <c r="B26" s="2"/>
      <c r="J26" s="9"/>
    </row>
    <row r="27" spans="1:10" ht="18.75" customHeight="1" x14ac:dyDescent="0.25">
      <c r="A27" s="2"/>
      <c r="B27" s="17"/>
      <c r="C27" s="71" t="s">
        <v>12</v>
      </c>
      <c r="D27" s="72"/>
      <c r="E27" s="72"/>
      <c r="F27" s="15" t="s">
        <v>11</v>
      </c>
      <c r="G27" s="25"/>
      <c r="H27" s="26"/>
      <c r="I27" s="25"/>
      <c r="J27" s="9"/>
    </row>
    <row r="28" spans="1:10" ht="47.25" customHeight="1" x14ac:dyDescent="0.25">
      <c r="A28" s="2"/>
      <c r="B28" s="2"/>
      <c r="J28" s="9"/>
    </row>
    <row r="29" spans="1:10" s="20" customFormat="1" ht="18.75" customHeight="1" x14ac:dyDescent="0.25">
      <c r="A29" s="19"/>
      <c r="B29" s="19"/>
      <c r="C29" s="73"/>
      <c r="D29" s="233"/>
      <c r="E29" s="234"/>
      <c r="G29" s="235"/>
      <c r="H29" s="236"/>
      <c r="I29" s="236"/>
      <c r="J29" s="24"/>
    </row>
    <row r="30" spans="1:10" ht="12.75" customHeight="1" x14ac:dyDescent="0.25">
      <c r="A30" s="2"/>
      <c r="B30" s="2"/>
      <c r="D30" s="232" t="s">
        <v>2</v>
      </c>
      <c r="E30" s="232"/>
      <c r="H30" s="10" t="s">
        <v>3</v>
      </c>
      <c r="J30" s="9"/>
    </row>
    <row r="31" spans="1:10" ht="13.5" customHeight="1" thickBot="1" x14ac:dyDescent="0.3">
      <c r="A31" s="11"/>
      <c r="B31" s="11"/>
      <c r="C31" s="74"/>
      <c r="D31" s="74"/>
      <c r="E31" s="74"/>
      <c r="F31" s="12"/>
      <c r="G31" s="12"/>
      <c r="H31" s="12"/>
      <c r="I31" s="12"/>
      <c r="J31" s="13"/>
    </row>
    <row r="32" spans="1:10" ht="27" customHeight="1" x14ac:dyDescent="0.25">
      <c r="B32" s="86" t="s">
        <v>17</v>
      </c>
      <c r="C32" s="87"/>
      <c r="D32" s="87"/>
      <c r="E32" s="87"/>
      <c r="F32" s="88"/>
      <c r="G32" s="88"/>
      <c r="H32" s="88"/>
      <c r="I32" s="88"/>
      <c r="J32" s="89"/>
    </row>
    <row r="33" spans="1:9" ht="25.5" customHeight="1" x14ac:dyDescent="0.25">
      <c r="A33" s="85" t="s">
        <v>35</v>
      </c>
      <c r="B33" s="90" t="s">
        <v>18</v>
      </c>
      <c r="C33" s="91" t="s">
        <v>6</v>
      </c>
      <c r="D33" s="91"/>
      <c r="E33" s="91"/>
      <c r="F33" s="92" t="str">
        <f>B18</f>
        <v>Základ pro sníženou DPH</v>
      </c>
      <c r="G33" s="92" t="str">
        <f>B20</f>
        <v>Základ pro základní DPH</v>
      </c>
      <c r="H33" s="93" t="s">
        <v>19</v>
      </c>
      <c r="I33" s="93" t="s">
        <v>1</v>
      </c>
    </row>
    <row r="34" spans="1:9" ht="25.5" hidden="1" customHeight="1" x14ac:dyDescent="0.25">
      <c r="A34" s="85">
        <v>1</v>
      </c>
      <c r="B34" s="94" t="s">
        <v>37</v>
      </c>
      <c r="C34" s="230"/>
      <c r="D34" s="230"/>
      <c r="E34" s="230"/>
      <c r="F34" s="95" t="e">
        <f>#REF!+'02 1 Pol'!#REF!</f>
        <v>#REF!</v>
      </c>
      <c r="G34" s="96" t="e">
        <f>#REF!+'02 1 Pol'!#REF!</f>
        <v>#REF!</v>
      </c>
      <c r="H34" s="97" t="e">
        <f>(F34*SazbaDPH1/100)+(G34*SazbaDPH2/100)</f>
        <v>#REF!</v>
      </c>
      <c r="I34" s="97" t="e">
        <f>F34+G34+H34</f>
        <v>#REF!</v>
      </c>
    </row>
    <row r="35" spans="1:9" ht="25.5" customHeight="1" x14ac:dyDescent="0.25">
      <c r="A35" s="85">
        <v>2</v>
      </c>
      <c r="B35" s="179">
        <v>1</v>
      </c>
      <c r="C35" s="231" t="s">
        <v>105</v>
      </c>
      <c r="D35" s="231"/>
      <c r="E35" s="231"/>
      <c r="F35" s="98">
        <v>0</v>
      </c>
      <c r="G35" s="99">
        <f>I16</f>
        <v>0</v>
      </c>
      <c r="H35" s="99">
        <f>DPHZakl</f>
        <v>0</v>
      </c>
      <c r="I35" s="99">
        <f>F35+G35+H35</f>
        <v>0</v>
      </c>
    </row>
    <row r="36" spans="1:9" ht="25.5" customHeight="1" x14ac:dyDescent="0.25">
      <c r="A36" s="85">
        <v>3</v>
      </c>
      <c r="B36" s="100" t="s">
        <v>38</v>
      </c>
      <c r="C36" s="230" t="s">
        <v>39</v>
      </c>
      <c r="D36" s="230"/>
      <c r="E36" s="230"/>
      <c r="F36" s="101">
        <f>F35</f>
        <v>0</v>
      </c>
      <c r="G36" s="97">
        <f>I16</f>
        <v>0</v>
      </c>
      <c r="H36" s="97">
        <f>H35</f>
        <v>0</v>
      </c>
      <c r="I36" s="97">
        <f>F36+G36+H36</f>
        <v>0</v>
      </c>
    </row>
    <row r="37" spans="1:9" ht="25.5" customHeight="1" x14ac:dyDescent="0.25">
      <c r="A37" s="85"/>
      <c r="B37" s="239" t="s">
        <v>41</v>
      </c>
      <c r="C37" s="240"/>
      <c r="D37" s="240"/>
      <c r="E37" s="241"/>
      <c r="F37" s="102">
        <f>F35</f>
        <v>0</v>
      </c>
      <c r="G37" s="102">
        <f>G36</f>
        <v>0</v>
      </c>
      <c r="H37" s="102">
        <f t="shared" ref="H37:I37" si="1">H35</f>
        <v>0</v>
      </c>
      <c r="I37" s="102">
        <f t="shared" si="1"/>
        <v>0</v>
      </c>
    </row>
    <row r="41" spans="1:9" ht="15.6" x14ac:dyDescent="0.3">
      <c r="B41" s="111" t="s">
        <v>43</v>
      </c>
    </row>
    <row r="43" spans="1:9" ht="25.5" customHeight="1" x14ac:dyDescent="0.25">
      <c r="A43" s="113"/>
      <c r="B43" s="116" t="s">
        <v>18</v>
      </c>
      <c r="C43" s="116" t="s">
        <v>6</v>
      </c>
      <c r="D43" s="117"/>
      <c r="E43" s="117"/>
      <c r="F43" s="118" t="s">
        <v>44</v>
      </c>
      <c r="G43" s="118"/>
      <c r="H43" s="118"/>
      <c r="I43" s="118" t="s">
        <v>27</v>
      </c>
    </row>
    <row r="44" spans="1:9" ht="36.75" customHeight="1" x14ac:dyDescent="0.25">
      <c r="A44" s="114"/>
      <c r="B44" s="119" t="s">
        <v>38</v>
      </c>
      <c r="C44" s="237" t="s">
        <v>45</v>
      </c>
      <c r="D44" s="238"/>
      <c r="E44" s="238"/>
      <c r="F44" s="125" t="s">
        <v>26</v>
      </c>
      <c r="G44" s="120"/>
      <c r="H44" s="120"/>
      <c r="I44" s="120">
        <f>'02 1 Pol'!G8</f>
        <v>0</v>
      </c>
    </row>
    <row r="45" spans="1:9" ht="36.75" customHeight="1" x14ac:dyDescent="0.25">
      <c r="A45" s="114"/>
      <c r="B45" s="119" t="s">
        <v>131</v>
      </c>
      <c r="C45" s="237" t="s">
        <v>132</v>
      </c>
      <c r="D45" s="238"/>
      <c r="E45" s="238"/>
      <c r="F45" s="125" t="s">
        <v>26</v>
      </c>
      <c r="G45" s="120"/>
      <c r="H45" s="120"/>
      <c r="I45" s="120">
        <f>'02 1 Pol'!G23</f>
        <v>0</v>
      </c>
    </row>
    <row r="46" spans="1:9" ht="36.75" customHeight="1" x14ac:dyDescent="0.25">
      <c r="A46" s="114"/>
      <c r="B46" s="119" t="s">
        <v>46</v>
      </c>
      <c r="C46" s="237" t="s">
        <v>47</v>
      </c>
      <c r="D46" s="238"/>
      <c r="E46" s="238"/>
      <c r="F46" s="125" t="s">
        <v>26</v>
      </c>
      <c r="G46" s="120"/>
      <c r="H46" s="120"/>
      <c r="I46" s="120">
        <f>'02 1 Pol'!G32</f>
        <v>0</v>
      </c>
    </row>
    <row r="47" spans="1:9" ht="36.75" customHeight="1" x14ac:dyDescent="0.25">
      <c r="A47" s="114"/>
      <c r="B47" s="119" t="s">
        <v>143</v>
      </c>
      <c r="C47" s="237" t="s">
        <v>144</v>
      </c>
      <c r="D47" s="238"/>
      <c r="E47" s="238"/>
      <c r="F47" s="125" t="s">
        <v>26</v>
      </c>
      <c r="G47" s="120"/>
      <c r="H47" s="120"/>
      <c r="I47" s="120">
        <f>'02 1 Pol'!G50</f>
        <v>0</v>
      </c>
    </row>
    <row r="48" spans="1:9" ht="36.75" customHeight="1" x14ac:dyDescent="0.25">
      <c r="A48" s="114"/>
      <c r="B48" s="119" t="s">
        <v>109</v>
      </c>
      <c r="C48" s="237" t="s">
        <v>110</v>
      </c>
      <c r="D48" s="238"/>
      <c r="E48" s="238"/>
      <c r="F48" s="125" t="s">
        <v>26</v>
      </c>
      <c r="G48" s="120"/>
      <c r="H48" s="120"/>
      <c r="I48" s="120">
        <f>'02 1 Pol'!G57</f>
        <v>0</v>
      </c>
    </row>
    <row r="49" spans="1:10" ht="36.75" customHeight="1" x14ac:dyDescent="0.25">
      <c r="A49" s="114"/>
      <c r="B49" s="119" t="s">
        <v>48</v>
      </c>
      <c r="C49" s="237" t="s">
        <v>49</v>
      </c>
      <c r="D49" s="238"/>
      <c r="E49" s="238"/>
      <c r="F49" s="125" t="s">
        <v>26</v>
      </c>
      <c r="G49" s="120"/>
      <c r="H49" s="120"/>
      <c r="I49" s="120">
        <f>'02 1 Pol'!G61</f>
        <v>0</v>
      </c>
    </row>
    <row r="50" spans="1:10" ht="25.5" customHeight="1" x14ac:dyDescent="0.25">
      <c r="A50" s="115"/>
      <c r="B50" s="121" t="s">
        <v>1</v>
      </c>
      <c r="C50" s="122"/>
      <c r="D50" s="123"/>
      <c r="E50" s="123"/>
      <c r="F50" s="126"/>
      <c r="G50" s="124"/>
      <c r="H50" s="124"/>
      <c r="I50" s="124">
        <f>SUM(I44:I49)</f>
        <v>0</v>
      </c>
    </row>
    <row r="51" spans="1:10" x14ac:dyDescent="0.25">
      <c r="F51" s="83"/>
      <c r="G51" s="83"/>
      <c r="H51" s="83"/>
      <c r="I51" s="83"/>
    </row>
    <row r="52" spans="1:10" x14ac:dyDescent="0.25">
      <c r="F52" s="83"/>
      <c r="G52" s="83"/>
      <c r="H52" s="83"/>
      <c r="I52" s="83"/>
      <c r="J52" s="84"/>
    </row>
    <row r="53" spans="1:10" x14ac:dyDescent="0.25">
      <c r="F53" s="83"/>
      <c r="G53" s="83"/>
      <c r="H53" s="83"/>
      <c r="I53" s="83"/>
      <c r="J53" s="84"/>
    </row>
  </sheetData>
  <sheetProtection algorithmName="SHA-512" hashValue="2eeeyPar6ROMP8igYIOaoNzx150vbszm12pfvdwiytCzWaORqtWZShHbvuIP2BSLk6yWKKkWr0uroTBax3zJbA==" saltValue="wAKxnBcrFRri6DZsQp7sKw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36">
    <mergeCell ref="C49:E49"/>
    <mergeCell ref="C48:E48"/>
    <mergeCell ref="C46:E46"/>
    <mergeCell ref="B37:E37"/>
    <mergeCell ref="C44:E44"/>
    <mergeCell ref="C45:E45"/>
    <mergeCell ref="C47:E47"/>
    <mergeCell ref="C34:E34"/>
    <mergeCell ref="C35:E35"/>
    <mergeCell ref="C36:E36"/>
    <mergeCell ref="D30:E30"/>
    <mergeCell ref="G19:I19"/>
    <mergeCell ref="D29:E29"/>
    <mergeCell ref="G29:I29"/>
    <mergeCell ref="E7:G7"/>
    <mergeCell ref="G18:I18"/>
    <mergeCell ref="I16:J16"/>
    <mergeCell ref="G24:I24"/>
    <mergeCell ref="G20:I20"/>
    <mergeCell ref="G23:I23"/>
    <mergeCell ref="B1:J1"/>
    <mergeCell ref="G21:I21"/>
    <mergeCell ref="G22:I22"/>
    <mergeCell ref="E2:J2"/>
    <mergeCell ref="E3:J3"/>
    <mergeCell ref="E15:F15"/>
    <mergeCell ref="D11:G11"/>
    <mergeCell ref="G15:H15"/>
    <mergeCell ref="I15:J15"/>
    <mergeCell ref="E16:F16"/>
    <mergeCell ref="G16:H16"/>
    <mergeCell ref="D12:G12"/>
    <mergeCell ref="E4:J4"/>
    <mergeCell ref="E13:G13"/>
    <mergeCell ref="D5:G5"/>
    <mergeCell ref="D6:G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1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2" t="s">
        <v>7</v>
      </c>
      <c r="B1" s="242"/>
      <c r="C1" s="243"/>
      <c r="D1" s="242"/>
      <c r="E1" s="242"/>
      <c r="F1" s="242"/>
      <c r="G1" s="242"/>
    </row>
    <row r="2" spans="1:7" ht="24.9" customHeight="1" x14ac:dyDescent="0.25">
      <c r="A2" s="49" t="s">
        <v>8</v>
      </c>
      <c r="B2" s="48"/>
      <c r="C2" s="244"/>
      <c r="D2" s="244"/>
      <c r="E2" s="244"/>
      <c r="F2" s="244"/>
      <c r="G2" s="245"/>
    </row>
    <row r="3" spans="1:7" ht="24.9" customHeight="1" x14ac:dyDescent="0.25">
      <c r="A3" s="49" t="s">
        <v>9</v>
      </c>
      <c r="B3" s="48"/>
      <c r="C3" s="244"/>
      <c r="D3" s="244"/>
      <c r="E3" s="244"/>
      <c r="F3" s="244"/>
      <c r="G3" s="245"/>
    </row>
    <row r="4" spans="1:7" ht="24.9" customHeight="1" x14ac:dyDescent="0.25">
      <c r="A4" s="49" t="s">
        <v>10</v>
      </c>
      <c r="B4" s="48"/>
      <c r="C4" s="244"/>
      <c r="D4" s="244"/>
      <c r="E4" s="244"/>
      <c r="F4" s="244"/>
      <c r="G4" s="245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M5029"/>
  <sheetViews>
    <sheetView tabSelected="1" workbookViewId="0">
      <pane ySplit="7" topLeftCell="A8" activePane="bottomLeft" state="frozen"/>
      <selection pane="bottomLeft" activeCell="Z32" sqref="Z32"/>
    </sheetView>
  </sheetViews>
  <sheetFormatPr defaultRowHeight="13.2" outlineLevelRow="1" x14ac:dyDescent="0.25"/>
  <cols>
    <col min="1" max="1" width="3.44140625" customWidth="1"/>
    <col min="2" max="2" width="12.5546875" style="112" customWidth="1"/>
    <col min="3" max="3" width="38.33203125" style="11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</cols>
  <sheetData>
    <row r="1" spans="1:31" ht="15.75" customHeight="1" x14ac:dyDescent="0.3">
      <c r="A1" s="246" t="s">
        <v>7</v>
      </c>
      <c r="B1" s="246"/>
      <c r="C1" s="246"/>
      <c r="D1" s="246"/>
      <c r="E1" s="246"/>
      <c r="F1" s="246"/>
      <c r="G1" s="246"/>
    </row>
    <row r="2" spans="1:31" ht="24.9" customHeight="1" x14ac:dyDescent="0.25">
      <c r="A2" s="49" t="s">
        <v>8</v>
      </c>
      <c r="B2" s="48" t="s">
        <v>103</v>
      </c>
      <c r="C2" s="247" t="s">
        <v>104</v>
      </c>
      <c r="D2" s="248"/>
      <c r="E2" s="248"/>
      <c r="F2" s="248"/>
      <c r="G2" s="249"/>
    </row>
    <row r="3" spans="1:31" ht="24.9" customHeight="1" x14ac:dyDescent="0.25">
      <c r="A3" s="49" t="s">
        <v>9</v>
      </c>
      <c r="B3" s="48" t="s">
        <v>40</v>
      </c>
      <c r="C3" s="247" t="s">
        <v>105</v>
      </c>
      <c r="D3" s="248"/>
      <c r="E3" s="248"/>
      <c r="F3" s="248"/>
      <c r="G3" s="249"/>
    </row>
    <row r="4" spans="1:31" ht="24.9" customHeight="1" x14ac:dyDescent="0.25">
      <c r="A4" s="127" t="s">
        <v>10</v>
      </c>
      <c r="B4" s="128" t="s">
        <v>38</v>
      </c>
      <c r="C4" s="250" t="s">
        <v>39</v>
      </c>
      <c r="D4" s="251"/>
      <c r="E4" s="251"/>
      <c r="F4" s="251"/>
      <c r="G4" s="252"/>
    </row>
    <row r="5" spans="1:31" x14ac:dyDescent="0.25">
      <c r="D5" s="10"/>
    </row>
    <row r="6" spans="1:31" ht="39.6" x14ac:dyDescent="0.25">
      <c r="A6" s="130" t="s">
        <v>50</v>
      </c>
      <c r="B6" s="132" t="s">
        <v>51</v>
      </c>
      <c r="C6" s="132" t="s">
        <v>52</v>
      </c>
      <c r="D6" s="131" t="s">
        <v>53</v>
      </c>
      <c r="E6" s="130" t="s">
        <v>54</v>
      </c>
      <c r="F6" s="129" t="s">
        <v>55</v>
      </c>
      <c r="G6" s="130" t="s">
        <v>27</v>
      </c>
      <c r="H6" s="133" t="s">
        <v>28</v>
      </c>
      <c r="I6" s="133" t="s">
        <v>56</v>
      </c>
      <c r="J6" s="133" t="s">
        <v>29</v>
      </c>
      <c r="K6" s="133" t="s">
        <v>57</v>
      </c>
      <c r="L6" s="133" t="s">
        <v>58</v>
      </c>
      <c r="M6" s="133" t="s">
        <v>59</v>
      </c>
      <c r="N6" s="133" t="s">
        <v>60</v>
      </c>
      <c r="O6" s="133" t="s">
        <v>61</v>
      </c>
      <c r="P6" s="133" t="s">
        <v>62</v>
      </c>
      <c r="Q6" s="133" t="s">
        <v>63</v>
      </c>
      <c r="R6" s="133" t="s">
        <v>64</v>
      </c>
      <c r="S6" s="133" t="s">
        <v>65</v>
      </c>
      <c r="T6" s="133" t="s">
        <v>66</v>
      </c>
      <c r="U6" s="133" t="s">
        <v>67</v>
      </c>
      <c r="V6" s="133" t="s">
        <v>68</v>
      </c>
      <c r="W6" s="133" t="s">
        <v>69</v>
      </c>
      <c r="X6" s="133" t="s">
        <v>70</v>
      </c>
    </row>
    <row r="7" spans="1:31" hidden="1" x14ac:dyDescent="0.25">
      <c r="A7" s="3"/>
      <c r="B7" s="4"/>
      <c r="C7" s="4"/>
      <c r="D7" s="6"/>
      <c r="E7" s="135"/>
      <c r="F7" s="136"/>
      <c r="G7" s="136"/>
      <c r="H7" s="136"/>
      <c r="I7" s="136"/>
      <c r="J7" s="136"/>
      <c r="K7" s="136"/>
      <c r="L7" s="136"/>
      <c r="M7" s="136"/>
      <c r="N7" s="135"/>
      <c r="O7" s="135"/>
      <c r="P7" s="135"/>
      <c r="Q7" s="135"/>
      <c r="R7" s="136"/>
      <c r="S7" s="136"/>
      <c r="T7" s="136"/>
      <c r="U7" s="136"/>
      <c r="V7" s="136"/>
      <c r="W7" s="136"/>
      <c r="X7" s="136"/>
    </row>
    <row r="8" spans="1:31" x14ac:dyDescent="0.25">
      <c r="A8" s="152" t="s">
        <v>71</v>
      </c>
      <c r="B8" s="153" t="s">
        <v>38</v>
      </c>
      <c r="C8" s="171" t="s">
        <v>45</v>
      </c>
      <c r="D8" s="154"/>
      <c r="E8" s="155"/>
      <c r="F8" s="156"/>
      <c r="G8" s="157">
        <f>SUM(G9:G22)</f>
        <v>0</v>
      </c>
      <c r="H8" s="151"/>
      <c r="I8" s="151" t="e">
        <f>SUM(#REF!)</f>
        <v>#REF!</v>
      </c>
      <c r="J8" s="151"/>
      <c r="K8" s="151" t="e">
        <f>SUM(#REF!)</f>
        <v>#REF!</v>
      </c>
      <c r="L8" s="151"/>
      <c r="M8" s="151" t="e">
        <f>SUM(#REF!)</f>
        <v>#REF!</v>
      </c>
      <c r="N8" s="150"/>
      <c r="O8" s="150" t="e">
        <f>SUM(#REF!)</f>
        <v>#REF!</v>
      </c>
      <c r="P8" s="150"/>
      <c r="Q8" s="150" t="e">
        <f>SUM(#REF!)</f>
        <v>#REF!</v>
      </c>
      <c r="R8" s="151"/>
      <c r="S8" s="151"/>
      <c r="T8" s="151"/>
      <c r="U8" s="151"/>
      <c r="V8" s="151" t="e">
        <f>SUM(#REF!)</f>
        <v>#REF!</v>
      </c>
      <c r="W8" s="151"/>
      <c r="X8" s="151"/>
    </row>
    <row r="9" spans="1:31" outlineLevel="1" x14ac:dyDescent="0.25">
      <c r="A9" s="159">
        <v>1</v>
      </c>
      <c r="B9" s="160" t="s">
        <v>121</v>
      </c>
      <c r="C9" s="172" t="s">
        <v>122</v>
      </c>
      <c r="D9" s="161" t="s">
        <v>72</v>
      </c>
      <c r="E9" s="162">
        <f>E33*0.2</f>
        <v>74.2</v>
      </c>
      <c r="F9" s="163">
        <v>0</v>
      </c>
      <c r="G9" s="164">
        <f>ROUND(E9*F9,2)</f>
        <v>0</v>
      </c>
      <c r="H9" s="145">
        <v>0</v>
      </c>
      <c r="I9" s="144">
        <f>ROUND(E9*H9,2)</f>
        <v>0</v>
      </c>
      <c r="J9" s="145">
        <v>87.5</v>
      </c>
      <c r="K9" s="144">
        <f>ROUND(E9*J9,2)</f>
        <v>6492.5</v>
      </c>
      <c r="L9" s="144">
        <v>15</v>
      </c>
      <c r="M9" s="144">
        <f>G9*(1+L9/100)</f>
        <v>0</v>
      </c>
      <c r="N9" s="143">
        <v>0</v>
      </c>
      <c r="O9" s="143">
        <f>ROUND(E9*N9,2)</f>
        <v>0</v>
      </c>
      <c r="P9" s="143">
        <v>0</v>
      </c>
      <c r="Q9" s="143">
        <f>ROUND(E9*P9,2)</f>
        <v>0</v>
      </c>
      <c r="R9" s="144"/>
      <c r="S9" s="144" t="s">
        <v>73</v>
      </c>
      <c r="T9" s="144" t="s">
        <v>73</v>
      </c>
      <c r="U9" s="144">
        <v>9.7000000000000003E-2</v>
      </c>
      <c r="V9" s="144">
        <f>ROUND(E9*U9,2)</f>
        <v>7.2</v>
      </c>
      <c r="W9" s="144"/>
      <c r="X9" s="144" t="s">
        <v>74</v>
      </c>
      <c r="Y9" s="134"/>
      <c r="Z9" s="134"/>
      <c r="AA9" s="134"/>
      <c r="AB9" s="134"/>
      <c r="AC9" s="134"/>
      <c r="AD9" s="134"/>
      <c r="AE9" s="134"/>
    </row>
    <row r="10" spans="1:31" outlineLevel="1" x14ac:dyDescent="0.25">
      <c r="A10" s="159">
        <v>2</v>
      </c>
      <c r="B10" s="160" t="s">
        <v>123</v>
      </c>
      <c r="C10" s="172" t="s">
        <v>75</v>
      </c>
      <c r="D10" s="161" t="s">
        <v>72</v>
      </c>
      <c r="E10" s="162">
        <f>SUM(E11:E13)</f>
        <v>152</v>
      </c>
      <c r="F10" s="163">
        <v>0</v>
      </c>
      <c r="G10" s="164">
        <f>ROUND(E10*F10,2)</f>
        <v>0</v>
      </c>
      <c r="H10" s="145">
        <v>0</v>
      </c>
      <c r="I10" s="144">
        <f>ROUND(E10*H10,2)</f>
        <v>0</v>
      </c>
      <c r="J10" s="145">
        <v>214.5</v>
      </c>
      <c r="K10" s="144">
        <f>ROUND(E10*J10,2)</f>
        <v>32604</v>
      </c>
      <c r="L10" s="144">
        <v>15</v>
      </c>
      <c r="M10" s="144">
        <f>G10*(1+L10/100)</f>
        <v>0</v>
      </c>
      <c r="N10" s="143">
        <v>0</v>
      </c>
      <c r="O10" s="143">
        <f>ROUND(E10*N10,2)</f>
        <v>0</v>
      </c>
      <c r="P10" s="143">
        <v>0</v>
      </c>
      <c r="Q10" s="143">
        <f>ROUND(E10*P10,2)</f>
        <v>0</v>
      </c>
      <c r="R10" s="144"/>
      <c r="S10" s="144" t="s">
        <v>73</v>
      </c>
      <c r="T10" s="144" t="s">
        <v>73</v>
      </c>
      <c r="U10" s="144">
        <v>0.36799999999999999</v>
      </c>
      <c r="V10" s="144">
        <f>ROUND(E10*U10,2)</f>
        <v>55.94</v>
      </c>
      <c r="W10" s="144"/>
      <c r="X10" s="144" t="s">
        <v>74</v>
      </c>
      <c r="Y10" s="134"/>
      <c r="Z10" s="134"/>
      <c r="AA10" s="134"/>
      <c r="AB10" s="134"/>
      <c r="AC10" s="134"/>
      <c r="AD10" s="134"/>
      <c r="AE10" s="134"/>
    </row>
    <row r="11" spans="1:31" outlineLevel="1" x14ac:dyDescent="0.25">
      <c r="A11" s="141"/>
      <c r="B11" s="142"/>
      <c r="C11" s="173" t="s">
        <v>164</v>
      </c>
      <c r="D11" s="146"/>
      <c r="E11" s="147">
        <v>52.85</v>
      </c>
      <c r="F11" s="144"/>
      <c r="G11" s="144"/>
      <c r="H11" s="144"/>
      <c r="I11" s="144"/>
      <c r="J11" s="144"/>
      <c r="K11" s="144"/>
      <c r="L11" s="144"/>
      <c r="M11" s="144"/>
      <c r="N11" s="143"/>
      <c r="O11" s="143"/>
      <c r="P11" s="143"/>
      <c r="Q11" s="143"/>
      <c r="R11" s="144"/>
      <c r="S11" s="144"/>
      <c r="T11" s="144"/>
      <c r="U11" s="144"/>
      <c r="V11" s="144"/>
      <c r="W11" s="144"/>
      <c r="X11" s="144"/>
      <c r="Y11" s="134"/>
      <c r="Z11" s="134"/>
      <c r="AA11" s="134"/>
      <c r="AB11" s="134"/>
      <c r="AC11" s="134"/>
      <c r="AD11" s="134"/>
      <c r="AE11" s="134"/>
    </row>
    <row r="12" spans="1:31" outlineLevel="1" x14ac:dyDescent="0.25">
      <c r="A12" s="141"/>
      <c r="B12" s="142"/>
      <c r="C12" s="173" t="s">
        <v>165</v>
      </c>
      <c r="D12" s="146"/>
      <c r="E12" s="147">
        <v>81.400000000000006</v>
      </c>
      <c r="F12" s="144"/>
      <c r="G12" s="144"/>
      <c r="H12" s="144"/>
      <c r="I12" s="144"/>
      <c r="J12" s="144"/>
      <c r="K12" s="144"/>
      <c r="L12" s="144"/>
      <c r="M12" s="144"/>
      <c r="N12" s="143"/>
      <c r="O12" s="143"/>
      <c r="P12" s="143"/>
      <c r="Q12" s="143"/>
      <c r="R12" s="144"/>
      <c r="S12" s="144"/>
      <c r="T12" s="144"/>
      <c r="U12" s="144"/>
      <c r="V12" s="144"/>
      <c r="W12" s="144"/>
      <c r="X12" s="144"/>
      <c r="Y12" s="134"/>
      <c r="Z12" s="134"/>
      <c r="AA12" s="134"/>
      <c r="AB12" s="134"/>
      <c r="AC12" s="134"/>
      <c r="AD12" s="134"/>
      <c r="AE12" s="134"/>
    </row>
    <row r="13" spans="1:31" outlineLevel="1" x14ac:dyDescent="0.25">
      <c r="A13" s="141"/>
      <c r="B13" s="142"/>
      <c r="C13" s="173">
        <v>17.75</v>
      </c>
      <c r="D13" s="146"/>
      <c r="E13" s="147">
        <v>17.75</v>
      </c>
      <c r="F13" s="144"/>
      <c r="G13" s="144"/>
      <c r="H13" s="144"/>
      <c r="I13" s="144"/>
      <c r="J13" s="144"/>
      <c r="K13" s="144"/>
      <c r="L13" s="144"/>
      <c r="M13" s="144"/>
      <c r="N13" s="143"/>
      <c r="O13" s="143"/>
      <c r="P13" s="143"/>
      <c r="Q13" s="143"/>
      <c r="R13" s="144"/>
      <c r="S13" s="144"/>
      <c r="T13" s="144"/>
      <c r="U13" s="144"/>
      <c r="V13" s="144"/>
      <c r="W13" s="144"/>
      <c r="X13" s="144"/>
      <c r="Y13" s="134"/>
      <c r="Z13" s="134"/>
      <c r="AA13" s="134"/>
      <c r="AB13" s="134"/>
      <c r="AC13" s="134"/>
      <c r="AD13" s="134"/>
      <c r="AE13" s="134"/>
    </row>
    <row r="14" spans="1:31" outlineLevel="1" x14ac:dyDescent="0.25">
      <c r="A14" s="187">
        <v>3</v>
      </c>
      <c r="B14" s="188" t="s">
        <v>135</v>
      </c>
      <c r="C14" s="189" t="s">
        <v>134</v>
      </c>
      <c r="D14" s="190" t="s">
        <v>72</v>
      </c>
      <c r="E14" s="191">
        <f>SUM(E15:E16)</f>
        <v>60.99</v>
      </c>
      <c r="F14" s="192">
        <v>0</v>
      </c>
      <c r="G14" s="193">
        <f>ROUND(E14*F14,2)</f>
        <v>0</v>
      </c>
      <c r="H14" s="145">
        <v>0</v>
      </c>
      <c r="I14" s="144">
        <f>ROUND(E14*H14,2)</f>
        <v>0</v>
      </c>
      <c r="J14" s="145">
        <v>575</v>
      </c>
      <c r="K14" s="144">
        <f>ROUND(E14*J14,2)</f>
        <v>35069.25</v>
      </c>
      <c r="L14" s="144">
        <v>15</v>
      </c>
      <c r="M14" s="144">
        <f>G14*(1+L14/100)</f>
        <v>0</v>
      </c>
      <c r="N14" s="143">
        <v>0</v>
      </c>
      <c r="O14" s="143">
        <f>ROUND(E14*N14,2)</f>
        <v>0</v>
      </c>
      <c r="P14" s="143">
        <v>0</v>
      </c>
      <c r="Q14" s="143">
        <f>ROUND(E14*P14,2)</f>
        <v>0</v>
      </c>
      <c r="R14" s="144"/>
      <c r="S14" s="144" t="s">
        <v>73</v>
      </c>
      <c r="T14" s="144" t="s">
        <v>73</v>
      </c>
      <c r="U14" s="144">
        <v>0.36499999999999999</v>
      </c>
      <c r="V14" s="144">
        <f>ROUND(E14*U14,2)</f>
        <v>22.26</v>
      </c>
      <c r="W14" s="144"/>
      <c r="X14" s="144" t="s">
        <v>74</v>
      </c>
      <c r="Y14" s="134"/>
      <c r="Z14" s="134"/>
      <c r="AA14" s="134"/>
      <c r="AB14" s="134"/>
      <c r="AC14" s="134"/>
      <c r="AD14" s="134"/>
      <c r="AE14" s="134"/>
    </row>
    <row r="15" spans="1:31" outlineLevel="1" x14ac:dyDescent="0.25">
      <c r="A15" s="141"/>
      <c r="B15" s="142"/>
      <c r="C15" s="173" t="s">
        <v>166</v>
      </c>
      <c r="D15" s="146"/>
      <c r="E15" s="147">
        <v>21.6</v>
      </c>
      <c r="F15" s="144"/>
      <c r="G15" s="144"/>
      <c r="H15" s="144"/>
      <c r="I15" s="144"/>
      <c r="J15" s="144"/>
      <c r="K15" s="144"/>
      <c r="L15" s="144"/>
      <c r="M15" s="144"/>
      <c r="N15" s="143"/>
      <c r="O15" s="143"/>
      <c r="P15" s="143"/>
      <c r="Q15" s="143"/>
      <c r="R15" s="144"/>
      <c r="S15" s="144"/>
      <c r="T15" s="144"/>
      <c r="U15" s="144"/>
      <c r="V15" s="144"/>
      <c r="W15" s="144"/>
      <c r="X15" s="144"/>
      <c r="Y15" s="134"/>
      <c r="Z15" s="134"/>
      <c r="AA15" s="134"/>
      <c r="AB15" s="134"/>
      <c r="AC15" s="134"/>
      <c r="AD15" s="134"/>
      <c r="AE15" s="134"/>
    </row>
    <row r="16" spans="1:31" ht="20.399999999999999" outlineLevel="1" x14ac:dyDescent="0.25">
      <c r="A16" s="141"/>
      <c r="B16" s="142"/>
      <c r="C16" s="173" t="s">
        <v>167</v>
      </c>
      <c r="D16" s="146"/>
      <c r="E16" s="147">
        <v>39.39</v>
      </c>
      <c r="F16" s="144"/>
      <c r="G16" s="144"/>
      <c r="H16" s="144"/>
      <c r="I16" s="144"/>
      <c r="J16" s="144"/>
      <c r="K16" s="144"/>
      <c r="L16" s="144"/>
      <c r="M16" s="144"/>
      <c r="N16" s="143"/>
      <c r="O16" s="143"/>
      <c r="P16" s="143"/>
      <c r="Q16" s="143"/>
      <c r="R16" s="144"/>
      <c r="S16" s="144"/>
      <c r="T16" s="144"/>
      <c r="U16" s="144"/>
      <c r="V16" s="144"/>
      <c r="W16" s="144"/>
      <c r="X16" s="144"/>
      <c r="Y16" s="134"/>
      <c r="Z16" s="134"/>
      <c r="AA16" s="134"/>
      <c r="AB16" s="134"/>
      <c r="AC16" s="134"/>
      <c r="AD16" s="134"/>
      <c r="AE16" s="134"/>
    </row>
    <row r="17" spans="1:39" outlineLevel="1" x14ac:dyDescent="0.25">
      <c r="A17" s="159">
        <v>4</v>
      </c>
      <c r="B17" s="160" t="s">
        <v>124</v>
      </c>
      <c r="C17" s="172" t="s">
        <v>76</v>
      </c>
      <c r="D17" s="161" t="s">
        <v>72</v>
      </c>
      <c r="E17" s="162">
        <f>E18</f>
        <v>18.256</v>
      </c>
      <c r="F17" s="163">
        <v>0</v>
      </c>
      <c r="G17" s="164">
        <f>ROUND(E17*F17,2)</f>
        <v>0</v>
      </c>
      <c r="H17" s="145">
        <v>0</v>
      </c>
      <c r="I17" s="144">
        <f>ROUND(E17*H17,2)</f>
        <v>0</v>
      </c>
      <c r="J17" s="145">
        <v>546</v>
      </c>
      <c r="K17" s="144">
        <f>ROUND(E17*J17,2)</f>
        <v>9967.7800000000007</v>
      </c>
      <c r="L17" s="144">
        <v>15</v>
      </c>
      <c r="M17" s="144">
        <f>G17*(1+L17/100)</f>
        <v>0</v>
      </c>
      <c r="N17" s="143">
        <v>0</v>
      </c>
      <c r="O17" s="143">
        <f>ROUND(E17*N17,2)</f>
        <v>0</v>
      </c>
      <c r="P17" s="143">
        <v>0</v>
      </c>
      <c r="Q17" s="143">
        <f>ROUND(E17*P17,2)</f>
        <v>0</v>
      </c>
      <c r="R17" s="144"/>
      <c r="S17" s="144" t="s">
        <v>73</v>
      </c>
      <c r="T17" s="144" t="s">
        <v>73</v>
      </c>
      <c r="U17" s="144">
        <v>1.1499999999999999</v>
      </c>
      <c r="V17" s="144">
        <f>ROUND(E17*U17,2)</f>
        <v>20.99</v>
      </c>
      <c r="W17" s="144"/>
      <c r="X17" s="144" t="s">
        <v>74</v>
      </c>
      <c r="Y17" s="134"/>
      <c r="Z17" s="134"/>
      <c r="AA17" s="134"/>
      <c r="AB17" s="134"/>
      <c r="AC17" s="134"/>
      <c r="AD17" s="134"/>
      <c r="AE17" s="134"/>
    </row>
    <row r="18" spans="1:39" outlineLevel="1" x14ac:dyDescent="0.25">
      <c r="A18" s="141"/>
      <c r="B18" s="142"/>
      <c r="C18" s="173">
        <v>18.256</v>
      </c>
      <c r="D18" s="146"/>
      <c r="E18" s="147">
        <f>C18</f>
        <v>18.256</v>
      </c>
      <c r="F18" s="144"/>
      <c r="G18" s="144"/>
      <c r="H18" s="144"/>
      <c r="I18" s="144"/>
      <c r="J18" s="144"/>
      <c r="K18" s="144"/>
      <c r="L18" s="144"/>
      <c r="M18" s="144"/>
      <c r="N18" s="143"/>
      <c r="O18" s="143"/>
      <c r="P18" s="143"/>
      <c r="Q18" s="143"/>
      <c r="R18" s="144"/>
      <c r="S18" s="144"/>
      <c r="T18" s="144"/>
      <c r="U18" s="144"/>
      <c r="V18" s="144"/>
      <c r="W18" s="144"/>
      <c r="X18" s="144"/>
      <c r="Y18" s="134"/>
      <c r="Z18" s="134"/>
      <c r="AA18" s="134"/>
      <c r="AB18" s="134"/>
      <c r="AC18" s="134"/>
      <c r="AD18" s="134"/>
      <c r="AE18" s="134"/>
    </row>
    <row r="19" spans="1:39" outlineLevel="1" x14ac:dyDescent="0.25">
      <c r="A19" s="159">
        <v>5</v>
      </c>
      <c r="B19" s="160" t="s">
        <v>125</v>
      </c>
      <c r="C19" s="172" t="s">
        <v>77</v>
      </c>
      <c r="D19" s="161" t="s">
        <v>72</v>
      </c>
      <c r="E19" s="162">
        <f>E20</f>
        <v>12</v>
      </c>
      <c r="F19" s="163">
        <v>0</v>
      </c>
      <c r="G19" s="164">
        <f>ROUND(E19*F19,2)</f>
        <v>0</v>
      </c>
      <c r="H19" s="145">
        <v>0</v>
      </c>
      <c r="I19" s="144">
        <f>ROUND(E19*H19,2)</f>
        <v>0</v>
      </c>
      <c r="J19" s="145">
        <v>976</v>
      </c>
      <c r="K19" s="144">
        <f>ROUND(E19*J19,2)</f>
        <v>11712</v>
      </c>
      <c r="L19" s="144">
        <v>15</v>
      </c>
      <c r="M19" s="144">
        <f>G19*(1+L19/100)</f>
        <v>0</v>
      </c>
      <c r="N19" s="143">
        <v>0</v>
      </c>
      <c r="O19" s="143">
        <f>ROUND(E19*N19,2)</f>
        <v>0</v>
      </c>
      <c r="P19" s="143">
        <v>0</v>
      </c>
      <c r="Q19" s="143">
        <f>ROUND(E19*P19,2)</f>
        <v>0</v>
      </c>
      <c r="R19" s="144"/>
      <c r="S19" s="144" t="s">
        <v>73</v>
      </c>
      <c r="T19" s="144" t="s">
        <v>73</v>
      </c>
      <c r="U19" s="144">
        <v>2.1949999999999998</v>
      </c>
      <c r="V19" s="144">
        <f>ROUND(E19*U19,2)</f>
        <v>26.34</v>
      </c>
      <c r="W19" s="144"/>
      <c r="X19" s="144" t="s">
        <v>74</v>
      </c>
      <c r="Y19" s="134"/>
      <c r="Z19" s="134"/>
      <c r="AA19" s="134"/>
      <c r="AB19" s="134"/>
      <c r="AC19" s="134"/>
      <c r="AD19" s="134"/>
      <c r="AE19" s="134"/>
    </row>
    <row r="20" spans="1:39" outlineLevel="1" x14ac:dyDescent="0.25">
      <c r="A20" s="141"/>
      <c r="B20" s="142"/>
      <c r="C20" s="173" t="s">
        <v>161</v>
      </c>
      <c r="D20" s="146"/>
      <c r="E20" s="147">
        <v>12</v>
      </c>
      <c r="F20" s="144"/>
      <c r="G20" s="144"/>
      <c r="H20" s="144"/>
      <c r="I20" s="144"/>
      <c r="J20" s="144"/>
      <c r="K20" s="144"/>
      <c r="L20" s="144"/>
      <c r="M20" s="144"/>
      <c r="N20" s="143"/>
      <c r="O20" s="143"/>
      <c r="P20" s="143"/>
      <c r="Q20" s="143"/>
      <c r="R20" s="144"/>
      <c r="S20" s="144"/>
      <c r="T20" s="144"/>
      <c r="U20" s="144"/>
      <c r="V20" s="144"/>
      <c r="W20" s="144"/>
      <c r="X20" s="144"/>
      <c r="Y20" s="134"/>
      <c r="Z20" s="134"/>
      <c r="AA20" s="134"/>
      <c r="AB20" s="134"/>
      <c r="AC20" s="134"/>
      <c r="AD20" s="134"/>
      <c r="AE20" s="134"/>
    </row>
    <row r="21" spans="1:39" outlineLevel="1" x14ac:dyDescent="0.25">
      <c r="A21" s="159">
        <v>6</v>
      </c>
      <c r="B21" s="160" t="s">
        <v>118</v>
      </c>
      <c r="C21" s="172" t="s">
        <v>78</v>
      </c>
      <c r="D21" s="161" t="s">
        <v>72</v>
      </c>
      <c r="E21" s="162">
        <f>E10+E14-E17</f>
        <v>194.73400000000001</v>
      </c>
      <c r="F21" s="163">
        <v>0</v>
      </c>
      <c r="G21" s="164">
        <f>ROUND(E21*F21,2)</f>
        <v>0</v>
      </c>
      <c r="H21" s="145">
        <v>0</v>
      </c>
      <c r="I21" s="144">
        <f>ROUND(E21*H21,2)</f>
        <v>0</v>
      </c>
      <c r="J21" s="145">
        <v>51.4</v>
      </c>
      <c r="K21" s="144">
        <f>ROUND(E21*J21,2)</f>
        <v>10009.33</v>
      </c>
      <c r="L21" s="144">
        <v>15</v>
      </c>
      <c r="M21" s="144">
        <f>G21*(1+L21/100)</f>
        <v>0</v>
      </c>
      <c r="N21" s="143">
        <v>0</v>
      </c>
      <c r="O21" s="143">
        <f>ROUND(E21*N21,2)</f>
        <v>0</v>
      </c>
      <c r="P21" s="143">
        <v>0</v>
      </c>
      <c r="Q21" s="143">
        <f>ROUND(E21*P21,2)</f>
        <v>0</v>
      </c>
      <c r="R21" s="144"/>
      <c r="S21" s="144" t="s">
        <v>73</v>
      </c>
      <c r="T21" s="144" t="s">
        <v>73</v>
      </c>
      <c r="U21" s="144">
        <v>7.3999999999999996E-2</v>
      </c>
      <c r="V21" s="144">
        <f>ROUND(E21*U21,2)</f>
        <v>14.41</v>
      </c>
      <c r="W21" s="144"/>
      <c r="X21" s="144" t="s">
        <v>74</v>
      </c>
      <c r="Y21" s="134"/>
      <c r="Z21" s="134"/>
      <c r="AA21" s="134"/>
      <c r="AB21" s="134"/>
      <c r="AC21" s="134"/>
      <c r="AD21" s="134"/>
      <c r="AE21" s="134"/>
    </row>
    <row r="22" spans="1:39" ht="20.399999999999999" outlineLevel="1" x14ac:dyDescent="0.25">
      <c r="A22" s="159">
        <v>7</v>
      </c>
      <c r="B22" s="160" t="s">
        <v>120</v>
      </c>
      <c r="C22" s="172" t="s">
        <v>119</v>
      </c>
      <c r="D22" s="161" t="s">
        <v>79</v>
      </c>
      <c r="E22" s="162">
        <f>E21*0.3293</f>
        <v>64.125906200000003</v>
      </c>
      <c r="F22" s="163">
        <v>0</v>
      </c>
      <c r="G22" s="164">
        <f>ROUND(E22*F22,2)</f>
        <v>0</v>
      </c>
      <c r="H22" s="145">
        <v>0</v>
      </c>
      <c r="I22" s="144">
        <f>ROUND(E22*H22,2)</f>
        <v>0</v>
      </c>
      <c r="J22" s="145">
        <v>15.3</v>
      </c>
      <c r="K22" s="144">
        <f>ROUND(E22*J22,2)</f>
        <v>981.13</v>
      </c>
      <c r="L22" s="144">
        <v>15</v>
      </c>
      <c r="M22" s="144">
        <f>G22*(1+L22/100)</f>
        <v>0</v>
      </c>
      <c r="N22" s="143">
        <v>0</v>
      </c>
      <c r="O22" s="143">
        <f>ROUND(E22*N22,2)</f>
        <v>0</v>
      </c>
      <c r="P22" s="143">
        <v>0</v>
      </c>
      <c r="Q22" s="143">
        <f>ROUND(E22*P22,2)</f>
        <v>0</v>
      </c>
      <c r="R22" s="144"/>
      <c r="S22" s="144" t="s">
        <v>73</v>
      </c>
      <c r="T22" s="144" t="s">
        <v>73</v>
      </c>
      <c r="U22" s="144">
        <v>1.7999999999999999E-2</v>
      </c>
      <c r="V22" s="144">
        <f>ROUND(E22*U22,2)</f>
        <v>1.1499999999999999</v>
      </c>
      <c r="W22" s="144"/>
      <c r="X22" s="144" t="s">
        <v>74</v>
      </c>
      <c r="Y22" s="134"/>
      <c r="Z22" s="134"/>
      <c r="AA22" s="134"/>
      <c r="AB22" s="134"/>
      <c r="AC22" s="134"/>
      <c r="AD22" s="134"/>
      <c r="AE22" s="134"/>
    </row>
    <row r="23" spans="1:39" x14ac:dyDescent="0.25">
      <c r="A23" s="152" t="s">
        <v>71</v>
      </c>
      <c r="B23" s="153" t="s">
        <v>131</v>
      </c>
      <c r="C23" s="171" t="s">
        <v>132</v>
      </c>
      <c r="D23" s="154"/>
      <c r="E23" s="155"/>
      <c r="F23" s="156"/>
      <c r="G23" s="157">
        <f>SUM(G24:G31)</f>
        <v>0</v>
      </c>
      <c r="H23" s="151"/>
      <c r="I23" s="151">
        <f>SUM(I26:I39)</f>
        <v>804129.42</v>
      </c>
      <c r="J23" s="151"/>
      <c r="K23" s="151">
        <f>SUM(K26:K39)</f>
        <v>541181.27999999991</v>
      </c>
      <c r="L23" s="151"/>
      <c r="M23" s="151">
        <f>SUM(M26:M39)</f>
        <v>0</v>
      </c>
      <c r="N23" s="150"/>
      <c r="O23" s="150">
        <f>SUM(O26:O39)</f>
        <v>746.01999999999987</v>
      </c>
      <c r="P23" s="150"/>
      <c r="Q23" s="150">
        <f>SUM(Q26:Q39)</f>
        <v>0</v>
      </c>
      <c r="R23" s="151"/>
      <c r="S23" s="151"/>
      <c r="T23" s="151"/>
      <c r="U23" s="151"/>
      <c r="V23" s="151">
        <f>SUM(V26:V39)</f>
        <v>1074.6400000000001</v>
      </c>
      <c r="W23" s="151"/>
      <c r="X23" s="151"/>
    </row>
    <row r="24" spans="1:39" outlineLevel="1" x14ac:dyDescent="0.25">
      <c r="A24" s="187">
        <v>8</v>
      </c>
      <c r="B24" s="188" t="s">
        <v>162</v>
      </c>
      <c r="C24" s="189" t="s">
        <v>163</v>
      </c>
      <c r="D24" s="190" t="s">
        <v>72</v>
      </c>
      <c r="E24" s="191">
        <f>E25</f>
        <v>3.4032499999999999</v>
      </c>
      <c r="F24" s="192">
        <v>0</v>
      </c>
      <c r="G24" s="193">
        <f t="shared" ref="G24" si="0">E24*F24</f>
        <v>0</v>
      </c>
      <c r="H24" s="145">
        <v>2778.71</v>
      </c>
      <c r="I24" s="144">
        <f>ROUND(E24*H24,2)</f>
        <v>9456.64</v>
      </c>
      <c r="J24" s="145">
        <v>286.29000000000002</v>
      </c>
      <c r="K24" s="144">
        <f>ROUND(E24*J24,2)</f>
        <v>974.32</v>
      </c>
      <c r="L24" s="144">
        <v>15</v>
      </c>
      <c r="M24" s="144">
        <f>G24*(1+L24/100)</f>
        <v>0</v>
      </c>
      <c r="N24" s="143">
        <v>2.5249999999999999</v>
      </c>
      <c r="O24" s="143">
        <f>ROUND(E24*N24,2)</f>
        <v>8.59</v>
      </c>
      <c r="P24" s="143">
        <v>0</v>
      </c>
      <c r="Q24" s="143">
        <f>ROUND(E24*P24,2)</f>
        <v>0</v>
      </c>
      <c r="R24" s="144"/>
      <c r="S24" s="144" t="s">
        <v>146</v>
      </c>
      <c r="T24" s="144" t="s">
        <v>146</v>
      </c>
      <c r="U24" s="144">
        <v>0.47699999999999998</v>
      </c>
      <c r="V24" s="144">
        <f>ROUND(E24*U24,2)</f>
        <v>1.62</v>
      </c>
      <c r="W24" s="144"/>
      <c r="X24" s="144" t="s">
        <v>74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</row>
    <row r="25" spans="1:39" ht="30.6" outlineLevel="1" x14ac:dyDescent="0.25">
      <c r="A25" s="141"/>
      <c r="B25" s="142"/>
      <c r="C25" s="173" t="s">
        <v>168</v>
      </c>
      <c r="D25" s="146"/>
      <c r="E25" s="147">
        <v>3.4032499999999999</v>
      </c>
      <c r="F25" s="144"/>
      <c r="G25" s="193"/>
      <c r="H25" s="144"/>
      <c r="I25" s="144"/>
      <c r="J25" s="144"/>
      <c r="K25" s="144"/>
      <c r="L25" s="144"/>
      <c r="M25" s="144"/>
      <c r="N25" s="143"/>
      <c r="O25" s="143"/>
      <c r="P25" s="143"/>
      <c r="Q25" s="143"/>
      <c r="R25" s="144"/>
      <c r="S25" s="144"/>
      <c r="T25" s="144"/>
      <c r="U25" s="144"/>
      <c r="V25" s="144"/>
      <c r="W25" s="144"/>
      <c r="X25" s="14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</row>
    <row r="26" spans="1:39" outlineLevel="1" x14ac:dyDescent="0.25">
      <c r="A26" s="187">
        <v>9</v>
      </c>
      <c r="B26" s="188" t="s">
        <v>136</v>
      </c>
      <c r="C26" s="189" t="s">
        <v>133</v>
      </c>
      <c r="D26" s="190" t="s">
        <v>72</v>
      </c>
      <c r="E26" s="191">
        <f>E27</f>
        <v>53.76</v>
      </c>
      <c r="F26" s="192">
        <v>0</v>
      </c>
      <c r="G26" s="193">
        <f>ROUND(E26*F26,2)</f>
        <v>0</v>
      </c>
      <c r="H26" s="145">
        <v>3113.35</v>
      </c>
      <c r="I26" s="144">
        <f>ROUND(E26*H26,2)</f>
        <v>167373.70000000001</v>
      </c>
      <c r="J26" s="145">
        <v>316.64999999999998</v>
      </c>
      <c r="K26" s="144">
        <f>ROUND(E26*J26,2)</f>
        <v>17023.099999999999</v>
      </c>
      <c r="L26" s="144">
        <v>15</v>
      </c>
      <c r="M26" s="144">
        <f>G26*(1+L26/100)</f>
        <v>0</v>
      </c>
      <c r="N26" s="143">
        <v>2.5249999999999999</v>
      </c>
      <c r="O26" s="143">
        <f>ROUND(E26*N26,2)</f>
        <v>135.74</v>
      </c>
      <c r="P26" s="143">
        <v>0</v>
      </c>
      <c r="Q26" s="143">
        <f>ROUND(E26*P26,2)</f>
        <v>0</v>
      </c>
      <c r="R26" s="144"/>
      <c r="S26" s="144" t="s">
        <v>73</v>
      </c>
      <c r="T26" s="144" t="s">
        <v>73</v>
      </c>
      <c r="U26" s="144">
        <v>0.48</v>
      </c>
      <c r="V26" s="144">
        <f>ROUND(E26*U26,2)</f>
        <v>25.8</v>
      </c>
      <c r="W26" s="144"/>
      <c r="X26" s="144" t="s">
        <v>74</v>
      </c>
      <c r="Y26" s="134"/>
      <c r="Z26" s="134"/>
      <c r="AA26" s="134"/>
      <c r="AB26" s="134"/>
      <c r="AC26" s="134"/>
      <c r="AD26" s="134"/>
      <c r="AE26" s="134"/>
    </row>
    <row r="27" spans="1:39" outlineLevel="1" x14ac:dyDescent="0.25">
      <c r="A27" s="141"/>
      <c r="B27" s="142"/>
      <c r="C27" s="173" t="s">
        <v>169</v>
      </c>
      <c r="D27" s="146"/>
      <c r="E27" s="147">
        <v>53.76</v>
      </c>
      <c r="F27" s="144"/>
      <c r="G27" s="144"/>
      <c r="H27" s="144"/>
      <c r="I27" s="144"/>
      <c r="J27" s="144"/>
      <c r="K27" s="144"/>
      <c r="L27" s="144"/>
      <c r="M27" s="144"/>
      <c r="N27" s="143"/>
      <c r="O27" s="143"/>
      <c r="P27" s="143"/>
      <c r="Q27" s="143"/>
      <c r="R27" s="144"/>
      <c r="S27" s="144"/>
      <c r="T27" s="144"/>
      <c r="U27" s="144"/>
      <c r="V27" s="144"/>
      <c r="W27" s="144"/>
      <c r="X27" s="144"/>
      <c r="Y27" s="134"/>
      <c r="Z27" s="134"/>
      <c r="AA27" s="134"/>
      <c r="AB27" s="134"/>
      <c r="AC27" s="134"/>
      <c r="AD27" s="134"/>
      <c r="AE27" s="134"/>
    </row>
    <row r="28" spans="1:39" outlineLevel="1" x14ac:dyDescent="0.25">
      <c r="A28" s="187">
        <v>10</v>
      </c>
      <c r="B28" s="188" t="s">
        <v>137</v>
      </c>
      <c r="C28" s="189" t="s">
        <v>138</v>
      </c>
      <c r="D28" s="190" t="s">
        <v>79</v>
      </c>
      <c r="E28" s="191">
        <f>E29</f>
        <v>304.64</v>
      </c>
      <c r="F28" s="192">
        <v>0</v>
      </c>
      <c r="G28" s="193">
        <f>ROUND(E28*F28,2)</f>
        <v>0</v>
      </c>
      <c r="H28" s="145">
        <v>187.4</v>
      </c>
      <c r="I28" s="144">
        <f>ROUND(E28*H28,2)</f>
        <v>57089.54</v>
      </c>
      <c r="J28" s="145">
        <v>695.6</v>
      </c>
      <c r="K28" s="144">
        <f>ROUND(E28*J28,2)</f>
        <v>211907.58</v>
      </c>
      <c r="L28" s="144">
        <v>15</v>
      </c>
      <c r="M28" s="144">
        <f>G28*(1+L28/100)</f>
        <v>0</v>
      </c>
      <c r="N28" s="143">
        <v>3.9199999999999999E-2</v>
      </c>
      <c r="O28" s="143">
        <f>ROUND(E28*N28,2)</f>
        <v>11.94</v>
      </c>
      <c r="P28" s="143">
        <v>0</v>
      </c>
      <c r="Q28" s="143">
        <f>ROUND(E28*P28,2)</f>
        <v>0</v>
      </c>
      <c r="R28" s="144"/>
      <c r="S28" s="144" t="s">
        <v>73</v>
      </c>
      <c r="T28" s="144" t="s">
        <v>73</v>
      </c>
      <c r="U28" s="144">
        <v>1.6</v>
      </c>
      <c r="V28" s="144">
        <f>ROUND(E28*U28,2)</f>
        <v>487.42</v>
      </c>
      <c r="W28" s="144"/>
      <c r="X28" s="144" t="s">
        <v>74</v>
      </c>
      <c r="Y28" s="134"/>
      <c r="Z28" s="134"/>
      <c r="AA28" s="134"/>
      <c r="AB28" s="134"/>
      <c r="AC28" s="134"/>
      <c r="AD28" s="134"/>
      <c r="AE28" s="134"/>
    </row>
    <row r="29" spans="1:39" outlineLevel="1" x14ac:dyDescent="0.25">
      <c r="A29" s="141"/>
      <c r="B29" s="142"/>
      <c r="C29" s="173">
        <v>304.64</v>
      </c>
      <c r="D29" s="146"/>
      <c r="E29" s="147">
        <f>C29</f>
        <v>304.64</v>
      </c>
      <c r="F29" s="144"/>
      <c r="G29" s="144"/>
      <c r="H29" s="144"/>
      <c r="I29" s="144"/>
      <c r="J29" s="144"/>
      <c r="K29" s="144"/>
      <c r="L29" s="144"/>
      <c r="M29" s="144"/>
      <c r="N29" s="143"/>
      <c r="O29" s="143"/>
      <c r="P29" s="143"/>
      <c r="Q29" s="143"/>
      <c r="R29" s="144"/>
      <c r="S29" s="144"/>
      <c r="T29" s="144"/>
      <c r="U29" s="144"/>
      <c r="V29" s="144"/>
      <c r="W29" s="144"/>
      <c r="X29" s="144"/>
      <c r="Y29" s="134"/>
      <c r="Z29" s="134"/>
      <c r="AA29" s="134"/>
      <c r="AB29" s="134"/>
      <c r="AC29" s="134"/>
      <c r="AD29" s="134"/>
      <c r="AE29" s="134"/>
    </row>
    <row r="30" spans="1:39" outlineLevel="1" x14ac:dyDescent="0.25">
      <c r="A30" s="165">
        <v>11</v>
      </c>
      <c r="B30" s="166" t="s">
        <v>140</v>
      </c>
      <c r="C30" s="174" t="s">
        <v>139</v>
      </c>
      <c r="D30" s="167" t="s">
        <v>79</v>
      </c>
      <c r="E30" s="168">
        <f>E29</f>
        <v>304.64</v>
      </c>
      <c r="F30" s="169">
        <v>0</v>
      </c>
      <c r="G30" s="170">
        <f>ROUND(E30*F30,2)</f>
        <v>0</v>
      </c>
      <c r="H30" s="145">
        <v>0</v>
      </c>
      <c r="I30" s="144">
        <f>ROUND(E30*H30,2)</f>
        <v>0</v>
      </c>
      <c r="J30" s="145">
        <v>140</v>
      </c>
      <c r="K30" s="144">
        <f>ROUND(E30*J30,2)</f>
        <v>42649.599999999999</v>
      </c>
      <c r="L30" s="144">
        <v>15</v>
      </c>
      <c r="M30" s="144">
        <f>G30*(1+L30/100)</f>
        <v>0</v>
      </c>
      <c r="N30" s="143">
        <v>0</v>
      </c>
      <c r="O30" s="143">
        <f>ROUND(E30*N30,2)</f>
        <v>0</v>
      </c>
      <c r="P30" s="143">
        <v>0</v>
      </c>
      <c r="Q30" s="143">
        <f>ROUND(E30*P30,2)</f>
        <v>0</v>
      </c>
      <c r="R30" s="144"/>
      <c r="S30" s="144" t="s">
        <v>73</v>
      </c>
      <c r="T30" s="144" t="s">
        <v>73</v>
      </c>
      <c r="U30" s="144">
        <v>0.32</v>
      </c>
      <c r="V30" s="144">
        <f>ROUND(E30*U30,2)</f>
        <v>97.48</v>
      </c>
      <c r="W30" s="144"/>
      <c r="X30" s="144" t="s">
        <v>74</v>
      </c>
      <c r="Y30" s="134"/>
      <c r="Z30" s="134"/>
      <c r="AA30" s="134"/>
      <c r="AB30" s="134"/>
      <c r="AC30" s="134"/>
      <c r="AD30" s="134"/>
      <c r="AE30" s="134"/>
    </row>
    <row r="31" spans="1:39" ht="20.399999999999999" outlineLevel="1" x14ac:dyDescent="0.25">
      <c r="A31" s="187">
        <v>12</v>
      </c>
      <c r="B31" s="188" t="s">
        <v>141</v>
      </c>
      <c r="C31" s="189" t="s">
        <v>142</v>
      </c>
      <c r="D31" s="190" t="s">
        <v>81</v>
      </c>
      <c r="E31" s="191">
        <v>0.72877499999999995</v>
      </c>
      <c r="F31" s="192">
        <v>0</v>
      </c>
      <c r="G31" s="193">
        <f>ROUND(E31*F31,2)</f>
        <v>0</v>
      </c>
      <c r="H31" s="145">
        <v>62604.73</v>
      </c>
      <c r="I31" s="144">
        <f>ROUND(E31*H31,2)</f>
        <v>45624.76</v>
      </c>
      <c r="J31" s="145">
        <v>7765.27</v>
      </c>
      <c r="K31" s="144">
        <f>ROUND(E31*J31,2)</f>
        <v>5659.13</v>
      </c>
      <c r="L31" s="144">
        <v>15</v>
      </c>
      <c r="M31" s="144">
        <f>G31*(1+L31/100)</f>
        <v>0</v>
      </c>
      <c r="N31" s="143">
        <v>1.05474</v>
      </c>
      <c r="O31" s="143">
        <f>ROUND(E31*N31,2)</f>
        <v>0.77</v>
      </c>
      <c r="P31" s="143">
        <v>0</v>
      </c>
      <c r="Q31" s="143">
        <f>ROUND(E31*P31,2)</f>
        <v>0</v>
      </c>
      <c r="R31" s="144"/>
      <c r="S31" s="144" t="s">
        <v>73</v>
      </c>
      <c r="T31" s="144" t="s">
        <v>73</v>
      </c>
      <c r="U31" s="144">
        <v>15.231</v>
      </c>
      <c r="V31" s="144">
        <f>ROUND(E31*U31,2)</f>
        <v>11.1</v>
      </c>
      <c r="W31" s="144"/>
      <c r="X31" s="144" t="s">
        <v>74</v>
      </c>
      <c r="Y31" s="134"/>
      <c r="Z31" s="134"/>
      <c r="AA31" s="134"/>
      <c r="AB31" s="134"/>
      <c r="AC31" s="134"/>
      <c r="AD31" s="134"/>
      <c r="AE31" s="134"/>
    </row>
    <row r="32" spans="1:39" x14ac:dyDescent="0.25">
      <c r="A32" s="152" t="s">
        <v>71</v>
      </c>
      <c r="B32" s="153" t="s">
        <v>46</v>
      </c>
      <c r="C32" s="171" t="s">
        <v>47</v>
      </c>
      <c r="D32" s="154"/>
      <c r="E32" s="155"/>
      <c r="F32" s="156"/>
      <c r="G32" s="157">
        <f>SUM(G33:G49)</f>
        <v>0</v>
      </c>
      <c r="H32" s="151"/>
      <c r="I32" s="151">
        <f>SUM(I33:I47)</f>
        <v>316617.66000000003</v>
      </c>
      <c r="J32" s="151"/>
      <c r="K32" s="151">
        <f>SUM(K33:K47)</f>
        <v>133786.28</v>
      </c>
      <c r="L32" s="151"/>
      <c r="M32" s="151">
        <f>SUM(M33:M47)</f>
        <v>0</v>
      </c>
      <c r="N32" s="150"/>
      <c r="O32" s="150">
        <f>SUM(O33:O47)</f>
        <v>312.54000000000002</v>
      </c>
      <c r="P32" s="150"/>
      <c r="Q32" s="150">
        <f>SUM(Q33:Q47)</f>
        <v>0</v>
      </c>
      <c r="R32" s="151"/>
      <c r="S32" s="151"/>
      <c r="T32" s="151"/>
      <c r="U32" s="151"/>
      <c r="V32" s="151">
        <f>SUM(V33:V47)</f>
        <v>229.99</v>
      </c>
      <c r="W32" s="151"/>
      <c r="X32" s="151"/>
    </row>
    <row r="33" spans="1:31" ht="20.399999999999999" outlineLevel="1" x14ac:dyDescent="0.25">
      <c r="A33" s="165">
        <v>13</v>
      </c>
      <c r="B33" s="166" t="s">
        <v>87</v>
      </c>
      <c r="C33" s="174" t="s">
        <v>88</v>
      </c>
      <c r="D33" s="167" t="s">
        <v>79</v>
      </c>
      <c r="E33" s="168">
        <v>371</v>
      </c>
      <c r="F33" s="169">
        <v>0</v>
      </c>
      <c r="G33" s="170">
        <f t="shared" ref="G33:G47" si="1">ROUND(E33*F33,2)</f>
        <v>0</v>
      </c>
      <c r="H33" s="145">
        <v>253.17</v>
      </c>
      <c r="I33" s="144">
        <f t="shared" ref="I33:I47" si="2">ROUND(E33*H33,2)</f>
        <v>93926.07</v>
      </c>
      <c r="J33" s="145">
        <v>36.33</v>
      </c>
      <c r="K33" s="144">
        <f t="shared" ref="K33:K47" si="3">ROUND(E33*J33,2)</f>
        <v>13478.43</v>
      </c>
      <c r="L33" s="144">
        <v>15</v>
      </c>
      <c r="M33" s="144">
        <f t="shared" ref="M33:M47" si="4">G33*(1+L33/100)</f>
        <v>0</v>
      </c>
      <c r="N33" s="143">
        <v>0.55125000000000002</v>
      </c>
      <c r="O33" s="143">
        <f t="shared" ref="O33:O47" si="5">ROUND(E33*N33,2)</f>
        <v>204.51</v>
      </c>
      <c r="P33" s="143">
        <v>0</v>
      </c>
      <c r="Q33" s="143">
        <f t="shared" ref="Q33:Q47" si="6">ROUND(E33*P33,2)</f>
        <v>0</v>
      </c>
      <c r="R33" s="144"/>
      <c r="S33" s="144" t="s">
        <v>73</v>
      </c>
      <c r="T33" s="144" t="s">
        <v>73</v>
      </c>
      <c r="U33" s="144">
        <v>2.7E-2</v>
      </c>
      <c r="V33" s="144">
        <f t="shared" ref="V33:V47" si="7">ROUND(E33*U33,2)</f>
        <v>10.02</v>
      </c>
      <c r="W33" s="144"/>
      <c r="X33" s="144" t="s">
        <v>74</v>
      </c>
      <c r="Y33" s="134"/>
      <c r="Z33" s="134"/>
      <c r="AA33" s="134"/>
      <c r="AB33" s="134"/>
      <c r="AC33" s="134"/>
      <c r="AD33" s="134"/>
      <c r="AE33" s="134"/>
    </row>
    <row r="34" spans="1:31" ht="20.399999999999999" outlineLevel="1" x14ac:dyDescent="0.25">
      <c r="A34" s="165">
        <v>14</v>
      </c>
      <c r="B34" s="166" t="s">
        <v>89</v>
      </c>
      <c r="C34" s="174" t="s">
        <v>90</v>
      </c>
      <c r="D34" s="167" t="s">
        <v>79</v>
      </c>
      <c r="E34" s="168">
        <v>371</v>
      </c>
      <c r="F34" s="169">
        <v>0</v>
      </c>
      <c r="G34" s="170">
        <f t="shared" si="1"/>
        <v>0</v>
      </c>
      <c r="H34" s="145">
        <v>40.47</v>
      </c>
      <c r="I34" s="144">
        <f t="shared" si="2"/>
        <v>15014.37</v>
      </c>
      <c r="J34" s="145">
        <v>26.63</v>
      </c>
      <c r="K34" s="144">
        <f t="shared" si="3"/>
        <v>9879.73</v>
      </c>
      <c r="L34" s="144">
        <v>15</v>
      </c>
      <c r="M34" s="144">
        <f t="shared" si="4"/>
        <v>0</v>
      </c>
      <c r="N34" s="143">
        <v>0.1008</v>
      </c>
      <c r="O34" s="143">
        <f t="shared" si="5"/>
        <v>37.4</v>
      </c>
      <c r="P34" s="143">
        <v>0</v>
      </c>
      <c r="Q34" s="143">
        <f t="shared" si="6"/>
        <v>0</v>
      </c>
      <c r="R34" s="144"/>
      <c r="S34" s="144" t="s">
        <v>73</v>
      </c>
      <c r="T34" s="144" t="s">
        <v>73</v>
      </c>
      <c r="U34" s="144">
        <v>2.5000000000000001E-2</v>
      </c>
      <c r="V34" s="144">
        <f t="shared" si="7"/>
        <v>9.2799999999999994</v>
      </c>
      <c r="W34" s="144"/>
      <c r="X34" s="144" t="s">
        <v>74</v>
      </c>
      <c r="Y34" s="134"/>
      <c r="Z34" s="134"/>
      <c r="AA34" s="134"/>
      <c r="AB34" s="134"/>
      <c r="AC34" s="134"/>
      <c r="AD34" s="134"/>
      <c r="AE34" s="134"/>
    </row>
    <row r="35" spans="1:31" outlineLevel="1" x14ac:dyDescent="0.25">
      <c r="A35" s="165">
        <v>15</v>
      </c>
      <c r="B35" s="166" t="s">
        <v>91</v>
      </c>
      <c r="C35" s="174" t="s">
        <v>92</v>
      </c>
      <c r="D35" s="167" t="s">
        <v>79</v>
      </c>
      <c r="E35" s="168">
        <v>220</v>
      </c>
      <c r="F35" s="169">
        <v>0</v>
      </c>
      <c r="G35" s="170">
        <f t="shared" si="1"/>
        <v>0</v>
      </c>
      <c r="H35" s="145">
        <v>19.07</v>
      </c>
      <c r="I35" s="144">
        <f t="shared" si="2"/>
        <v>4195.3999999999996</v>
      </c>
      <c r="J35" s="145">
        <v>318.43</v>
      </c>
      <c r="K35" s="144">
        <f t="shared" si="3"/>
        <v>70054.600000000006</v>
      </c>
      <c r="L35" s="144">
        <v>15</v>
      </c>
      <c r="M35" s="144">
        <f t="shared" si="4"/>
        <v>0</v>
      </c>
      <c r="N35" s="143">
        <v>3.15E-2</v>
      </c>
      <c r="O35" s="143">
        <f t="shared" si="5"/>
        <v>6.93</v>
      </c>
      <c r="P35" s="143">
        <v>0</v>
      </c>
      <c r="Q35" s="143">
        <f t="shared" si="6"/>
        <v>0</v>
      </c>
      <c r="R35" s="144"/>
      <c r="S35" s="144" t="s">
        <v>73</v>
      </c>
      <c r="T35" s="144" t="s">
        <v>73</v>
      </c>
      <c r="U35" s="144">
        <v>0.61499999999999999</v>
      </c>
      <c r="V35" s="144">
        <f t="shared" si="7"/>
        <v>135.30000000000001</v>
      </c>
      <c r="W35" s="144"/>
      <c r="X35" s="144" t="s">
        <v>74</v>
      </c>
      <c r="Y35" s="134"/>
      <c r="Z35" s="134"/>
      <c r="AA35" s="134"/>
      <c r="AB35" s="134"/>
      <c r="AC35" s="134"/>
      <c r="AD35" s="134"/>
      <c r="AE35" s="134"/>
    </row>
    <row r="36" spans="1:31" outlineLevel="1" x14ac:dyDescent="0.25">
      <c r="A36" s="159">
        <v>16</v>
      </c>
      <c r="B36" s="160" t="s">
        <v>93</v>
      </c>
      <c r="C36" s="172" t="s">
        <v>94</v>
      </c>
      <c r="D36" s="161" t="s">
        <v>80</v>
      </c>
      <c r="E36" s="162">
        <f>SUM(E37:E38)</f>
        <v>962.50000003499997</v>
      </c>
      <c r="F36" s="163">
        <v>0</v>
      </c>
      <c r="G36" s="164">
        <f t="shared" si="1"/>
        <v>0</v>
      </c>
      <c r="H36" s="145">
        <v>101.5</v>
      </c>
      <c r="I36" s="144">
        <f t="shared" si="2"/>
        <v>97693.75</v>
      </c>
      <c r="J36" s="145">
        <v>0</v>
      </c>
      <c r="K36" s="144">
        <f t="shared" si="3"/>
        <v>0</v>
      </c>
      <c r="L36" s="144">
        <v>15</v>
      </c>
      <c r="M36" s="144">
        <f t="shared" si="4"/>
        <v>0</v>
      </c>
      <c r="N36" s="143">
        <v>2.5999999999999999E-2</v>
      </c>
      <c r="O36" s="143">
        <f t="shared" si="5"/>
        <v>25.03</v>
      </c>
      <c r="P36" s="143">
        <v>0</v>
      </c>
      <c r="Q36" s="143">
        <f t="shared" si="6"/>
        <v>0</v>
      </c>
      <c r="R36" s="144" t="s">
        <v>82</v>
      </c>
      <c r="S36" s="144" t="s">
        <v>73</v>
      </c>
      <c r="T36" s="144" t="s">
        <v>73</v>
      </c>
      <c r="U36" s="144">
        <v>0</v>
      </c>
      <c r="V36" s="144">
        <f t="shared" si="7"/>
        <v>0</v>
      </c>
      <c r="W36" s="144"/>
      <c r="X36" s="144" t="s">
        <v>83</v>
      </c>
      <c r="Y36" s="134"/>
      <c r="Z36" s="134"/>
      <c r="AA36" s="134"/>
      <c r="AB36" s="134"/>
      <c r="AC36" s="134"/>
      <c r="AD36" s="134"/>
      <c r="AE36" s="134"/>
    </row>
    <row r="37" spans="1:31" outlineLevel="1" x14ac:dyDescent="0.25">
      <c r="A37" s="141"/>
      <c r="B37" s="142"/>
      <c r="C37" s="173" t="s">
        <v>101</v>
      </c>
      <c r="D37" s="146"/>
      <c r="E37" s="147">
        <v>916.66666669999995</v>
      </c>
      <c r="F37" s="144"/>
      <c r="G37" s="144"/>
      <c r="H37" s="144"/>
      <c r="I37" s="144"/>
      <c r="J37" s="144"/>
      <c r="K37" s="144"/>
      <c r="L37" s="144"/>
      <c r="M37" s="144"/>
      <c r="N37" s="143"/>
      <c r="O37" s="143"/>
      <c r="P37" s="143"/>
      <c r="Q37" s="143"/>
      <c r="R37" s="144"/>
      <c r="S37" s="144"/>
      <c r="T37" s="144"/>
      <c r="U37" s="144"/>
      <c r="V37" s="144"/>
      <c r="W37" s="144"/>
      <c r="X37" s="144"/>
      <c r="Y37" s="134"/>
      <c r="Z37" s="134"/>
      <c r="AA37" s="134"/>
      <c r="AB37" s="134"/>
      <c r="AC37" s="134"/>
      <c r="AD37" s="134"/>
      <c r="AE37" s="134"/>
    </row>
    <row r="38" spans="1:31" outlineLevel="1" x14ac:dyDescent="0.25">
      <c r="A38" s="141"/>
      <c r="B38" s="142"/>
      <c r="C38" s="175" t="s">
        <v>102</v>
      </c>
      <c r="D38" s="148"/>
      <c r="E38" s="149">
        <f>E37*0.05</f>
        <v>45.833333334999999</v>
      </c>
      <c r="F38" s="144"/>
      <c r="G38" s="144"/>
      <c r="H38" s="144"/>
      <c r="I38" s="144"/>
      <c r="J38" s="144"/>
      <c r="K38" s="144"/>
      <c r="L38" s="144"/>
      <c r="M38" s="144"/>
      <c r="N38" s="143"/>
      <c r="O38" s="143"/>
      <c r="P38" s="143"/>
      <c r="Q38" s="143"/>
      <c r="R38" s="144"/>
      <c r="S38" s="144"/>
      <c r="T38" s="144"/>
      <c r="U38" s="144"/>
      <c r="V38" s="144"/>
      <c r="W38" s="144"/>
      <c r="X38" s="144"/>
      <c r="Y38" s="134"/>
      <c r="Z38" s="134"/>
      <c r="AA38" s="134"/>
      <c r="AB38" s="134"/>
      <c r="AC38" s="134"/>
      <c r="AD38" s="134"/>
      <c r="AE38" s="134"/>
    </row>
    <row r="39" spans="1:31" outlineLevel="1" x14ac:dyDescent="0.25">
      <c r="A39" s="165">
        <v>17</v>
      </c>
      <c r="B39" s="166" t="s">
        <v>126</v>
      </c>
      <c r="C39" s="174" t="s">
        <v>95</v>
      </c>
      <c r="D39" s="167" t="s">
        <v>79</v>
      </c>
      <c r="E39" s="168">
        <v>151</v>
      </c>
      <c r="F39" s="169">
        <v>0</v>
      </c>
      <c r="G39" s="170">
        <f t="shared" si="1"/>
        <v>0</v>
      </c>
      <c r="H39" s="145">
        <v>43.67</v>
      </c>
      <c r="I39" s="144">
        <f t="shared" si="2"/>
        <v>6594.17</v>
      </c>
      <c r="J39" s="145">
        <v>243.33</v>
      </c>
      <c r="K39" s="144">
        <f t="shared" si="3"/>
        <v>36742.83</v>
      </c>
      <c r="L39" s="144">
        <v>15</v>
      </c>
      <c r="M39" s="144">
        <f t="shared" si="4"/>
        <v>0</v>
      </c>
      <c r="N39" s="143">
        <v>7.3899999999999993E-2</v>
      </c>
      <c r="O39" s="143">
        <f t="shared" si="5"/>
        <v>11.16</v>
      </c>
      <c r="P39" s="143">
        <v>0</v>
      </c>
      <c r="Q39" s="143">
        <f t="shared" si="6"/>
        <v>0</v>
      </c>
      <c r="R39" s="144"/>
      <c r="S39" s="144" t="s">
        <v>73</v>
      </c>
      <c r="T39" s="144" t="s">
        <v>73</v>
      </c>
      <c r="U39" s="144">
        <v>0.45200000000000001</v>
      </c>
      <c r="V39" s="144">
        <f t="shared" si="7"/>
        <v>68.25</v>
      </c>
      <c r="W39" s="144"/>
      <c r="X39" s="144" t="s">
        <v>74</v>
      </c>
      <c r="Y39" s="134"/>
      <c r="Z39" s="134"/>
      <c r="AA39" s="134"/>
      <c r="AB39" s="134"/>
      <c r="AC39" s="134"/>
      <c r="AD39" s="134"/>
      <c r="AE39" s="134"/>
    </row>
    <row r="40" spans="1:31" outlineLevel="1" x14ac:dyDescent="0.25">
      <c r="A40" s="159">
        <v>18</v>
      </c>
      <c r="B40" s="160" t="s">
        <v>96</v>
      </c>
      <c r="C40" s="172" t="s">
        <v>97</v>
      </c>
      <c r="D40" s="161" t="s">
        <v>79</v>
      </c>
      <c r="E40" s="162">
        <f>SUM(E41:E42)</f>
        <v>158.55000000000001</v>
      </c>
      <c r="F40" s="163">
        <v>0</v>
      </c>
      <c r="G40" s="164">
        <f t="shared" si="1"/>
        <v>0</v>
      </c>
      <c r="H40" s="145">
        <v>389</v>
      </c>
      <c r="I40" s="144">
        <f t="shared" si="2"/>
        <v>61675.95</v>
      </c>
      <c r="J40" s="145">
        <v>0</v>
      </c>
      <c r="K40" s="144">
        <f t="shared" si="3"/>
        <v>0</v>
      </c>
      <c r="L40" s="144">
        <v>15</v>
      </c>
      <c r="M40" s="144">
        <f t="shared" si="4"/>
        <v>0</v>
      </c>
      <c r="N40" s="143">
        <v>0.13100000000000001</v>
      </c>
      <c r="O40" s="143">
        <f t="shared" si="5"/>
        <v>20.77</v>
      </c>
      <c r="P40" s="143">
        <v>0</v>
      </c>
      <c r="Q40" s="143">
        <f t="shared" si="6"/>
        <v>0</v>
      </c>
      <c r="R40" s="144" t="s">
        <v>82</v>
      </c>
      <c r="S40" s="144" t="s">
        <v>73</v>
      </c>
      <c r="T40" s="144" t="s">
        <v>73</v>
      </c>
      <c r="U40" s="144">
        <v>0</v>
      </c>
      <c r="V40" s="144">
        <f t="shared" si="7"/>
        <v>0</v>
      </c>
      <c r="W40" s="144"/>
      <c r="X40" s="144" t="s">
        <v>83</v>
      </c>
      <c r="Y40" s="134"/>
      <c r="Z40" s="134"/>
      <c r="AA40" s="134"/>
      <c r="AB40" s="134"/>
      <c r="AC40" s="134"/>
      <c r="AD40" s="134"/>
      <c r="AE40" s="134"/>
    </row>
    <row r="41" spans="1:31" outlineLevel="1" x14ac:dyDescent="0.25">
      <c r="A41" s="141"/>
      <c r="B41" s="142"/>
      <c r="C41" s="173">
        <v>151</v>
      </c>
      <c r="D41" s="146"/>
      <c r="E41" s="147">
        <f>C41</f>
        <v>151</v>
      </c>
      <c r="F41" s="144"/>
      <c r="G41" s="144"/>
      <c r="H41" s="144"/>
      <c r="I41" s="144"/>
      <c r="J41" s="144"/>
      <c r="K41" s="144"/>
      <c r="L41" s="144"/>
      <c r="M41" s="144"/>
      <c r="N41" s="143"/>
      <c r="O41" s="143"/>
      <c r="P41" s="143"/>
      <c r="Q41" s="143"/>
      <c r="R41" s="144"/>
      <c r="S41" s="144"/>
      <c r="T41" s="144"/>
      <c r="U41" s="144"/>
      <c r="V41" s="144"/>
      <c r="W41" s="144"/>
      <c r="X41" s="144"/>
      <c r="Y41" s="134"/>
      <c r="Z41" s="134"/>
      <c r="AA41" s="134"/>
      <c r="AB41" s="134"/>
      <c r="AC41" s="134"/>
      <c r="AD41" s="134"/>
      <c r="AE41" s="134"/>
    </row>
    <row r="42" spans="1:31" outlineLevel="1" x14ac:dyDescent="0.25">
      <c r="A42" s="141"/>
      <c r="B42" s="142"/>
      <c r="C42" s="175" t="s">
        <v>102</v>
      </c>
      <c r="D42" s="148"/>
      <c r="E42" s="149">
        <f>E41*0.05</f>
        <v>7.5500000000000007</v>
      </c>
      <c r="F42" s="144"/>
      <c r="G42" s="144"/>
      <c r="H42" s="144"/>
      <c r="I42" s="144"/>
      <c r="J42" s="144"/>
      <c r="K42" s="144"/>
      <c r="L42" s="144"/>
      <c r="M42" s="144"/>
      <c r="N42" s="143"/>
      <c r="O42" s="143"/>
      <c r="P42" s="143"/>
      <c r="Q42" s="143"/>
      <c r="R42" s="144"/>
      <c r="S42" s="144"/>
      <c r="T42" s="144"/>
      <c r="U42" s="144"/>
      <c r="V42" s="144"/>
      <c r="W42" s="144"/>
      <c r="X42" s="144"/>
      <c r="Y42" s="134"/>
      <c r="Z42" s="134"/>
      <c r="AA42" s="134"/>
      <c r="AB42" s="134"/>
      <c r="AC42" s="134"/>
      <c r="AD42" s="134"/>
      <c r="AE42" s="134"/>
    </row>
    <row r="43" spans="1:31" outlineLevel="1" x14ac:dyDescent="0.25">
      <c r="A43" s="187">
        <v>19</v>
      </c>
      <c r="B43" s="188" t="s">
        <v>127</v>
      </c>
      <c r="C43" s="189" t="s">
        <v>116</v>
      </c>
      <c r="D43" s="190" t="s">
        <v>79</v>
      </c>
      <c r="E43" s="191">
        <f>SUM(E44:E45)</f>
        <v>426.65</v>
      </c>
      <c r="F43" s="192">
        <v>0</v>
      </c>
      <c r="G43" s="193">
        <f>ROUND(E43*F43,2)</f>
        <v>0</v>
      </c>
      <c r="H43" s="145">
        <v>61.9</v>
      </c>
      <c r="I43" s="144">
        <f>ROUND(E43*H43,2)</f>
        <v>26409.64</v>
      </c>
      <c r="J43" s="145">
        <v>0</v>
      </c>
      <c r="K43" s="144">
        <f>ROUND(E43*J43,2)</f>
        <v>0</v>
      </c>
      <c r="L43" s="144">
        <v>15</v>
      </c>
      <c r="M43" s="144">
        <f>G43*(1+L43/100)</f>
        <v>0</v>
      </c>
      <c r="N43" s="143">
        <v>2.9999999999999997E-4</v>
      </c>
      <c r="O43" s="143">
        <f>ROUND(E43*N43,2)</f>
        <v>0.13</v>
      </c>
      <c r="P43" s="143">
        <v>0</v>
      </c>
      <c r="Q43" s="143">
        <f>ROUND(E43*P43,2)</f>
        <v>0</v>
      </c>
      <c r="R43" s="144" t="s">
        <v>82</v>
      </c>
      <c r="S43" s="144" t="s">
        <v>73</v>
      </c>
      <c r="T43" s="144" t="s">
        <v>73</v>
      </c>
      <c r="U43" s="144">
        <v>0</v>
      </c>
      <c r="V43" s="144">
        <f>ROUND(E43*U43,2)</f>
        <v>0</v>
      </c>
      <c r="W43" s="144"/>
      <c r="X43" s="144" t="s">
        <v>83</v>
      </c>
      <c r="Y43" s="134"/>
      <c r="Z43" s="134"/>
      <c r="AA43" s="134"/>
      <c r="AB43" s="134"/>
      <c r="AC43" s="134"/>
      <c r="AD43" s="134"/>
      <c r="AE43" s="134"/>
    </row>
    <row r="44" spans="1:31" outlineLevel="1" x14ac:dyDescent="0.25">
      <c r="A44" s="141"/>
      <c r="B44" s="142"/>
      <c r="C44" s="173">
        <f>E33</f>
        <v>371</v>
      </c>
      <c r="D44" s="146"/>
      <c r="E44" s="147">
        <f>C44</f>
        <v>371</v>
      </c>
      <c r="F44" s="144"/>
      <c r="G44" s="144"/>
      <c r="H44" s="144"/>
      <c r="I44" s="144"/>
      <c r="J44" s="144"/>
      <c r="K44" s="144"/>
      <c r="L44" s="144"/>
      <c r="M44" s="144"/>
      <c r="N44" s="143"/>
      <c r="O44" s="143"/>
      <c r="P44" s="143"/>
      <c r="Q44" s="143"/>
      <c r="R44" s="144"/>
      <c r="S44" s="144"/>
      <c r="T44" s="144"/>
      <c r="U44" s="144"/>
      <c r="V44" s="144"/>
      <c r="W44" s="144"/>
      <c r="X44" s="144"/>
      <c r="Y44" s="134"/>
      <c r="Z44" s="134"/>
      <c r="AA44" s="134"/>
      <c r="AB44" s="134"/>
      <c r="AC44" s="134"/>
      <c r="AD44" s="134"/>
      <c r="AE44" s="134"/>
    </row>
    <row r="45" spans="1:31" outlineLevel="1" x14ac:dyDescent="0.25">
      <c r="A45" s="141"/>
      <c r="B45" s="142"/>
      <c r="C45" s="175" t="s">
        <v>117</v>
      </c>
      <c r="D45" s="148"/>
      <c r="E45" s="149">
        <f>E44*0.15</f>
        <v>55.65</v>
      </c>
      <c r="F45" s="144"/>
      <c r="G45" s="144"/>
      <c r="H45" s="144"/>
      <c r="I45" s="144"/>
      <c r="J45" s="144"/>
      <c r="K45" s="144"/>
      <c r="L45" s="144"/>
      <c r="M45" s="144"/>
      <c r="N45" s="143"/>
      <c r="O45" s="143"/>
      <c r="P45" s="143"/>
      <c r="Q45" s="143"/>
      <c r="R45" s="144"/>
      <c r="S45" s="144"/>
      <c r="T45" s="144"/>
      <c r="U45" s="144"/>
      <c r="V45" s="144"/>
      <c r="W45" s="144"/>
      <c r="X45" s="144"/>
      <c r="Y45" s="134"/>
      <c r="Z45" s="134"/>
      <c r="AA45" s="134"/>
      <c r="AB45" s="134"/>
      <c r="AC45" s="134"/>
      <c r="AD45" s="134"/>
      <c r="AE45" s="134"/>
    </row>
    <row r="46" spans="1:31" ht="13.5" customHeight="1" outlineLevel="1" x14ac:dyDescent="0.25">
      <c r="A46" s="165">
        <v>20</v>
      </c>
      <c r="B46" s="166" t="s">
        <v>128</v>
      </c>
      <c r="C46" s="174" t="s">
        <v>98</v>
      </c>
      <c r="D46" s="167" t="s">
        <v>84</v>
      </c>
      <c r="E46" s="168">
        <v>51</v>
      </c>
      <c r="F46" s="169">
        <v>0</v>
      </c>
      <c r="G46" s="170">
        <f t="shared" si="1"/>
        <v>0</v>
      </c>
      <c r="H46" s="145">
        <v>104.81</v>
      </c>
      <c r="I46" s="144">
        <f t="shared" si="2"/>
        <v>5345.31</v>
      </c>
      <c r="J46" s="145">
        <v>71.19</v>
      </c>
      <c r="K46" s="144">
        <f t="shared" si="3"/>
        <v>3630.69</v>
      </c>
      <c r="L46" s="144">
        <v>15</v>
      </c>
      <c r="M46" s="144">
        <f t="shared" si="4"/>
        <v>0</v>
      </c>
      <c r="N46" s="143">
        <v>0.10249999999999999</v>
      </c>
      <c r="O46" s="143">
        <f t="shared" si="5"/>
        <v>5.23</v>
      </c>
      <c r="P46" s="143">
        <v>0</v>
      </c>
      <c r="Q46" s="143">
        <f t="shared" si="6"/>
        <v>0</v>
      </c>
      <c r="R46" s="144"/>
      <c r="S46" s="144" t="s">
        <v>73</v>
      </c>
      <c r="T46" s="144" t="s">
        <v>73</v>
      </c>
      <c r="U46" s="144">
        <v>0.14000000000000001</v>
      </c>
      <c r="V46" s="144">
        <f t="shared" si="7"/>
        <v>7.14</v>
      </c>
      <c r="W46" s="144"/>
      <c r="X46" s="144" t="s">
        <v>74</v>
      </c>
      <c r="Y46" s="134"/>
      <c r="Z46" s="134"/>
      <c r="AA46" s="134"/>
      <c r="AB46" s="134"/>
      <c r="AC46" s="134"/>
      <c r="AD46" s="134"/>
      <c r="AE46" s="134"/>
    </row>
    <row r="47" spans="1:31" outlineLevel="1" x14ac:dyDescent="0.25">
      <c r="A47" s="159">
        <v>21</v>
      </c>
      <c r="B47" s="160" t="s">
        <v>99</v>
      </c>
      <c r="C47" s="172" t="s">
        <v>100</v>
      </c>
      <c r="D47" s="161" t="s">
        <v>80</v>
      </c>
      <c r="E47" s="162">
        <f>E46</f>
        <v>51</v>
      </c>
      <c r="F47" s="163">
        <v>0</v>
      </c>
      <c r="G47" s="164">
        <f t="shared" si="1"/>
        <v>0</v>
      </c>
      <c r="H47" s="145">
        <v>113</v>
      </c>
      <c r="I47" s="144">
        <f t="shared" si="2"/>
        <v>5763</v>
      </c>
      <c r="J47" s="145">
        <v>0</v>
      </c>
      <c r="K47" s="144">
        <f t="shared" si="3"/>
        <v>0</v>
      </c>
      <c r="L47" s="144">
        <v>15</v>
      </c>
      <c r="M47" s="144">
        <f t="shared" si="4"/>
        <v>0</v>
      </c>
      <c r="N47" s="143">
        <v>2.7E-2</v>
      </c>
      <c r="O47" s="143">
        <f t="shared" si="5"/>
        <v>1.38</v>
      </c>
      <c r="P47" s="143">
        <v>0</v>
      </c>
      <c r="Q47" s="143">
        <f t="shared" si="6"/>
        <v>0</v>
      </c>
      <c r="R47" s="144" t="s">
        <v>82</v>
      </c>
      <c r="S47" s="144" t="s">
        <v>73</v>
      </c>
      <c r="T47" s="144" t="s">
        <v>73</v>
      </c>
      <c r="U47" s="144">
        <v>0</v>
      </c>
      <c r="V47" s="144">
        <f t="shared" si="7"/>
        <v>0</v>
      </c>
      <c r="W47" s="144"/>
      <c r="X47" s="144" t="s">
        <v>83</v>
      </c>
      <c r="Y47" s="134"/>
      <c r="Z47" s="134"/>
      <c r="AA47" s="134"/>
      <c r="AB47" s="134"/>
      <c r="AC47" s="134"/>
      <c r="AD47" s="134"/>
      <c r="AE47" s="134"/>
    </row>
    <row r="48" spans="1:31" ht="13.5" customHeight="1" outlineLevel="1" x14ac:dyDescent="0.25">
      <c r="A48" s="165">
        <v>22</v>
      </c>
      <c r="B48" s="166" t="s">
        <v>129</v>
      </c>
      <c r="C48" s="174" t="s">
        <v>108</v>
      </c>
      <c r="D48" s="167" t="s">
        <v>84</v>
      </c>
      <c r="E48" s="168">
        <v>16</v>
      </c>
      <c r="F48" s="169">
        <v>0</v>
      </c>
      <c r="G48" s="170">
        <f t="shared" ref="G48:G49" si="8">ROUND(E48*F48,2)</f>
        <v>0</v>
      </c>
      <c r="H48" s="145">
        <v>104.81</v>
      </c>
      <c r="I48" s="144">
        <f t="shared" ref="I48:I49" si="9">ROUND(E48*H48,2)</f>
        <v>1676.96</v>
      </c>
      <c r="J48" s="145">
        <v>71.19</v>
      </c>
      <c r="K48" s="144">
        <f t="shared" ref="K48:K49" si="10">ROUND(E48*J48,2)</f>
        <v>1139.04</v>
      </c>
      <c r="L48" s="144">
        <v>15</v>
      </c>
      <c r="M48" s="144">
        <f t="shared" ref="M48:M49" si="11">G48*(1+L48/100)</f>
        <v>0</v>
      </c>
      <c r="N48" s="143">
        <v>0.10249999999999999</v>
      </c>
      <c r="O48" s="143">
        <f t="shared" ref="O48:O49" si="12">ROUND(E48*N48,2)</f>
        <v>1.64</v>
      </c>
      <c r="P48" s="143">
        <v>0</v>
      </c>
      <c r="Q48" s="143">
        <f t="shared" ref="Q48:Q49" si="13">ROUND(E48*P48,2)</f>
        <v>0</v>
      </c>
      <c r="R48" s="144"/>
      <c r="S48" s="144" t="s">
        <v>73</v>
      </c>
      <c r="T48" s="144" t="s">
        <v>73</v>
      </c>
      <c r="U48" s="144">
        <v>0.14000000000000001</v>
      </c>
      <c r="V48" s="144">
        <f t="shared" ref="V48:V49" si="14">ROUND(E48*U48,2)</f>
        <v>2.2400000000000002</v>
      </c>
      <c r="W48" s="144"/>
      <c r="X48" s="144" t="s">
        <v>74</v>
      </c>
      <c r="Y48" s="134"/>
      <c r="Z48" s="134"/>
      <c r="AA48" s="134"/>
      <c r="AB48" s="134"/>
      <c r="AC48" s="134"/>
      <c r="AD48" s="134"/>
      <c r="AE48" s="134"/>
    </row>
    <row r="49" spans="1:31" ht="20.399999999999999" outlineLevel="1" x14ac:dyDescent="0.25">
      <c r="A49" s="159">
        <v>23</v>
      </c>
      <c r="B49" s="160" t="s">
        <v>106</v>
      </c>
      <c r="C49" s="172" t="s">
        <v>107</v>
      </c>
      <c r="D49" s="161" t="s">
        <v>80</v>
      </c>
      <c r="E49" s="162">
        <f>E48</f>
        <v>16</v>
      </c>
      <c r="F49" s="163">
        <v>0</v>
      </c>
      <c r="G49" s="164">
        <f t="shared" si="8"/>
        <v>0</v>
      </c>
      <c r="H49" s="145">
        <v>113</v>
      </c>
      <c r="I49" s="144">
        <f t="shared" si="9"/>
        <v>1808</v>
      </c>
      <c r="J49" s="145">
        <v>0</v>
      </c>
      <c r="K49" s="144">
        <f t="shared" si="10"/>
        <v>0</v>
      </c>
      <c r="L49" s="144">
        <v>15</v>
      </c>
      <c r="M49" s="144">
        <f t="shared" si="11"/>
        <v>0</v>
      </c>
      <c r="N49" s="143">
        <v>2.7E-2</v>
      </c>
      <c r="O49" s="143">
        <f t="shared" si="12"/>
        <v>0.43</v>
      </c>
      <c r="P49" s="143">
        <v>0</v>
      </c>
      <c r="Q49" s="143">
        <f t="shared" si="13"/>
        <v>0</v>
      </c>
      <c r="R49" s="144" t="s">
        <v>82</v>
      </c>
      <c r="S49" s="144" t="s">
        <v>73</v>
      </c>
      <c r="T49" s="144" t="s">
        <v>73</v>
      </c>
      <c r="U49" s="144">
        <v>0</v>
      </c>
      <c r="V49" s="144">
        <f t="shared" si="14"/>
        <v>0</v>
      </c>
      <c r="W49" s="144"/>
      <c r="X49" s="144" t="s">
        <v>83</v>
      </c>
      <c r="Y49" s="134"/>
      <c r="Z49" s="134"/>
      <c r="AA49" s="134"/>
      <c r="AB49" s="134"/>
      <c r="AC49" s="134"/>
      <c r="AD49" s="134"/>
      <c r="AE49" s="134"/>
    </row>
    <row r="50" spans="1:31" x14ac:dyDescent="0.25">
      <c r="A50" s="152" t="s">
        <v>71</v>
      </c>
      <c r="B50" s="153" t="s">
        <v>143</v>
      </c>
      <c r="C50" s="171" t="s">
        <v>144</v>
      </c>
      <c r="D50" s="154"/>
      <c r="E50" s="155"/>
      <c r="F50" s="156"/>
      <c r="G50" s="157">
        <f>SUM(G51:G56)</f>
        <v>0</v>
      </c>
      <c r="H50" s="151"/>
      <c r="I50" s="151">
        <f>SUM(I51:I56)</f>
        <v>53866.39</v>
      </c>
      <c r="J50" s="151"/>
      <c r="K50" s="151">
        <f>SUM(K51:K56)</f>
        <v>119431.41</v>
      </c>
      <c r="L50" s="151"/>
      <c r="M50" s="151">
        <f>SUM(M51:M56)</f>
        <v>0</v>
      </c>
      <c r="N50" s="150"/>
      <c r="O50" s="150">
        <f>SUM(O51:O56)</f>
        <v>13.36</v>
      </c>
      <c r="P50" s="150"/>
      <c r="Q50" s="150">
        <f>SUM(Q51:Q56)</f>
        <v>0</v>
      </c>
      <c r="R50" s="151"/>
      <c r="S50" s="151"/>
      <c r="T50" s="151"/>
      <c r="U50" s="151"/>
      <c r="V50" s="151">
        <f>SUM(V51:V56)</f>
        <v>71.050000000000011</v>
      </c>
      <c r="W50" s="151"/>
      <c r="X50" s="151"/>
    </row>
    <row r="51" spans="1:31" ht="20.399999999999999" outlineLevel="1" x14ac:dyDescent="0.25">
      <c r="A51" s="165">
        <v>24</v>
      </c>
      <c r="B51" s="166" t="s">
        <v>147</v>
      </c>
      <c r="C51" s="174" t="s">
        <v>148</v>
      </c>
      <c r="D51" s="167" t="s">
        <v>84</v>
      </c>
      <c r="E51" s="168">
        <v>11</v>
      </c>
      <c r="F51" s="169">
        <v>0</v>
      </c>
      <c r="G51" s="170">
        <f t="shared" ref="G51:G56" si="15">E51*F51</f>
        <v>0</v>
      </c>
      <c r="H51" s="145">
        <v>0</v>
      </c>
      <c r="I51" s="144">
        <f t="shared" ref="I51:I56" si="16">ROUND(E51*H51,2)</f>
        <v>0</v>
      </c>
      <c r="J51" s="145">
        <v>1549</v>
      </c>
      <c r="K51" s="144">
        <f t="shared" ref="K51:K56" si="17">ROUND(E51*J51,2)</f>
        <v>17039</v>
      </c>
      <c r="L51" s="144">
        <v>15</v>
      </c>
      <c r="M51" s="144">
        <f t="shared" ref="M51:M56" si="18">G51*(1+L51/100)</f>
        <v>0</v>
      </c>
      <c r="N51" s="143">
        <v>0.51870000000000005</v>
      </c>
      <c r="O51" s="143">
        <f t="shared" ref="O51:O56" si="19">ROUND(E51*N51,2)</f>
        <v>5.71</v>
      </c>
      <c r="P51" s="143">
        <v>0</v>
      </c>
      <c r="Q51" s="143">
        <f t="shared" ref="Q51:Q56" si="20">ROUND(E51*P51,2)</f>
        <v>0</v>
      </c>
      <c r="R51" s="144"/>
      <c r="S51" s="144" t="s">
        <v>145</v>
      </c>
      <c r="T51" s="144" t="s">
        <v>146</v>
      </c>
      <c r="U51" s="144">
        <v>1.92963</v>
      </c>
      <c r="V51" s="144">
        <f t="shared" ref="V51:V56" si="21">ROUND(E51*U51,2)</f>
        <v>21.23</v>
      </c>
      <c r="W51" s="144"/>
      <c r="X51" s="144" t="s">
        <v>74</v>
      </c>
    </row>
    <row r="52" spans="1:31" ht="20.399999999999999" outlineLevel="1" x14ac:dyDescent="0.25">
      <c r="A52" s="165">
        <v>25</v>
      </c>
      <c r="B52" s="166" t="s">
        <v>149</v>
      </c>
      <c r="C52" s="174" t="s">
        <v>150</v>
      </c>
      <c r="D52" s="167" t="s">
        <v>80</v>
      </c>
      <c r="E52" s="168">
        <v>1</v>
      </c>
      <c r="F52" s="169">
        <v>0</v>
      </c>
      <c r="G52" s="170">
        <f t="shared" si="15"/>
        <v>0</v>
      </c>
      <c r="H52" s="145">
        <v>0</v>
      </c>
      <c r="I52" s="144">
        <f t="shared" si="16"/>
        <v>0</v>
      </c>
      <c r="J52" s="145">
        <v>15390</v>
      </c>
      <c r="K52" s="144">
        <f t="shared" si="17"/>
        <v>15390</v>
      </c>
      <c r="L52" s="144">
        <v>15</v>
      </c>
      <c r="M52" s="144">
        <f t="shared" si="18"/>
        <v>0</v>
      </c>
      <c r="N52" s="143">
        <v>0.14112</v>
      </c>
      <c r="O52" s="143">
        <f t="shared" si="19"/>
        <v>0.14000000000000001</v>
      </c>
      <c r="P52" s="143">
        <v>0</v>
      </c>
      <c r="Q52" s="143">
        <f t="shared" si="20"/>
        <v>0</v>
      </c>
      <c r="R52" s="144"/>
      <c r="S52" s="144" t="s">
        <v>145</v>
      </c>
      <c r="T52" s="144" t="s">
        <v>146</v>
      </c>
      <c r="U52" s="144">
        <v>2.3454899999999999</v>
      </c>
      <c r="V52" s="144">
        <f t="shared" si="21"/>
        <v>2.35</v>
      </c>
      <c r="W52" s="144"/>
      <c r="X52" s="144" t="s">
        <v>74</v>
      </c>
    </row>
    <row r="53" spans="1:31" ht="20.399999999999999" outlineLevel="1" x14ac:dyDescent="0.25">
      <c r="A53" s="165">
        <v>26</v>
      </c>
      <c r="B53" s="166" t="s">
        <v>151</v>
      </c>
      <c r="C53" s="174" t="s">
        <v>152</v>
      </c>
      <c r="D53" s="167" t="s">
        <v>80</v>
      </c>
      <c r="E53" s="168">
        <v>1</v>
      </c>
      <c r="F53" s="169">
        <v>0</v>
      </c>
      <c r="G53" s="170">
        <f t="shared" si="15"/>
        <v>0</v>
      </c>
      <c r="H53" s="145">
        <v>18466.39</v>
      </c>
      <c r="I53" s="144">
        <f t="shared" si="16"/>
        <v>18466.39</v>
      </c>
      <c r="J53" s="145">
        <v>4403.6099999999997</v>
      </c>
      <c r="K53" s="144">
        <f t="shared" si="17"/>
        <v>4403.6099999999997</v>
      </c>
      <c r="L53" s="144">
        <v>15</v>
      </c>
      <c r="M53" s="144">
        <f t="shared" si="18"/>
        <v>0</v>
      </c>
      <c r="N53" s="143">
        <v>3.0426099999999998</v>
      </c>
      <c r="O53" s="143">
        <f t="shared" si="19"/>
        <v>3.04</v>
      </c>
      <c r="P53" s="143">
        <v>0</v>
      </c>
      <c r="Q53" s="143">
        <f t="shared" si="20"/>
        <v>0</v>
      </c>
      <c r="R53" s="144"/>
      <c r="S53" s="144" t="s">
        <v>146</v>
      </c>
      <c r="T53" s="144" t="s">
        <v>146</v>
      </c>
      <c r="U53" s="144">
        <v>5.89025</v>
      </c>
      <c r="V53" s="144">
        <f t="shared" si="21"/>
        <v>5.89</v>
      </c>
      <c r="W53" s="144"/>
      <c r="X53" s="144" t="s">
        <v>153</v>
      </c>
    </row>
    <row r="54" spans="1:31" outlineLevel="1" x14ac:dyDescent="0.25">
      <c r="A54" s="165">
        <v>27</v>
      </c>
      <c r="B54" s="166" t="s">
        <v>154</v>
      </c>
      <c r="C54" s="174" t="s">
        <v>155</v>
      </c>
      <c r="D54" s="167" t="s">
        <v>84</v>
      </c>
      <c r="E54" s="168">
        <v>54.8</v>
      </c>
      <c r="F54" s="169">
        <v>0</v>
      </c>
      <c r="G54" s="170">
        <f t="shared" si="15"/>
        <v>0</v>
      </c>
      <c r="H54" s="145">
        <v>0</v>
      </c>
      <c r="I54" s="144">
        <f t="shared" si="16"/>
        <v>0</v>
      </c>
      <c r="J54" s="145">
        <v>631</v>
      </c>
      <c r="K54" s="144">
        <f t="shared" si="17"/>
        <v>34578.800000000003</v>
      </c>
      <c r="L54" s="144">
        <v>15</v>
      </c>
      <c r="M54" s="144">
        <f t="shared" si="18"/>
        <v>0</v>
      </c>
      <c r="N54" s="143">
        <v>2.9499999999999999E-3</v>
      </c>
      <c r="O54" s="143">
        <f t="shared" si="19"/>
        <v>0.16</v>
      </c>
      <c r="P54" s="143">
        <v>0</v>
      </c>
      <c r="Q54" s="143">
        <f t="shared" si="20"/>
        <v>0</v>
      </c>
      <c r="R54" s="144"/>
      <c r="S54" s="144" t="s">
        <v>145</v>
      </c>
      <c r="T54" s="144" t="s">
        <v>146</v>
      </c>
      <c r="U54" s="144">
        <v>0.44209999999999999</v>
      </c>
      <c r="V54" s="144">
        <f t="shared" si="21"/>
        <v>24.23</v>
      </c>
      <c r="W54" s="144"/>
      <c r="X54" s="144" t="s">
        <v>74</v>
      </c>
    </row>
    <row r="55" spans="1:31" ht="20.399999999999999" outlineLevel="1" x14ac:dyDescent="0.25">
      <c r="A55" s="165">
        <v>28</v>
      </c>
      <c r="B55" s="166" t="s">
        <v>158</v>
      </c>
      <c r="C55" s="174" t="s">
        <v>159</v>
      </c>
      <c r="D55" s="167" t="s">
        <v>80</v>
      </c>
      <c r="E55" s="168">
        <v>1</v>
      </c>
      <c r="F55" s="169">
        <v>0</v>
      </c>
      <c r="G55" s="170">
        <f t="shared" si="15"/>
        <v>0</v>
      </c>
      <c r="H55" s="145">
        <v>35400</v>
      </c>
      <c r="I55" s="144">
        <f t="shared" si="16"/>
        <v>35400</v>
      </c>
      <c r="J55" s="145">
        <v>0</v>
      </c>
      <c r="K55" s="144">
        <f t="shared" si="17"/>
        <v>0</v>
      </c>
      <c r="L55" s="144">
        <v>15</v>
      </c>
      <c r="M55" s="144">
        <f t="shared" si="18"/>
        <v>0</v>
      </c>
      <c r="N55" s="143">
        <v>0.17</v>
      </c>
      <c r="O55" s="143">
        <f t="shared" si="19"/>
        <v>0.17</v>
      </c>
      <c r="P55" s="143">
        <v>0</v>
      </c>
      <c r="Q55" s="143">
        <f t="shared" si="20"/>
        <v>0</v>
      </c>
      <c r="R55" s="144" t="s">
        <v>82</v>
      </c>
      <c r="S55" s="144" t="s">
        <v>146</v>
      </c>
      <c r="T55" s="144" t="s">
        <v>146</v>
      </c>
      <c r="U55" s="144">
        <v>0</v>
      </c>
      <c r="V55" s="144">
        <f t="shared" si="21"/>
        <v>0</v>
      </c>
      <c r="W55" s="144"/>
      <c r="X55" s="144" t="s">
        <v>83</v>
      </c>
    </row>
    <row r="56" spans="1:31" outlineLevel="1" x14ac:dyDescent="0.25">
      <c r="A56" s="165">
        <v>29</v>
      </c>
      <c r="B56" s="166" t="s">
        <v>156</v>
      </c>
      <c r="C56" s="174" t="s">
        <v>160</v>
      </c>
      <c r="D56" s="167" t="s">
        <v>157</v>
      </c>
      <c r="E56" s="168">
        <v>1</v>
      </c>
      <c r="F56" s="169">
        <v>0</v>
      </c>
      <c r="G56" s="170">
        <f t="shared" si="15"/>
        <v>0</v>
      </c>
      <c r="H56" s="145">
        <v>0</v>
      </c>
      <c r="I56" s="144">
        <f t="shared" si="16"/>
        <v>0</v>
      </c>
      <c r="J56" s="145">
        <v>48020</v>
      </c>
      <c r="K56" s="144">
        <f t="shared" si="17"/>
        <v>48020</v>
      </c>
      <c r="L56" s="144">
        <v>15</v>
      </c>
      <c r="M56" s="144">
        <f t="shared" si="18"/>
        <v>0</v>
      </c>
      <c r="N56" s="143">
        <v>4.1432200000000003</v>
      </c>
      <c r="O56" s="143">
        <f t="shared" si="19"/>
        <v>4.1399999999999997</v>
      </c>
      <c r="P56" s="143">
        <v>0</v>
      </c>
      <c r="Q56" s="143">
        <f t="shared" si="20"/>
        <v>0</v>
      </c>
      <c r="R56" s="144"/>
      <c r="S56" s="144" t="s">
        <v>145</v>
      </c>
      <c r="T56" s="144" t="s">
        <v>146</v>
      </c>
      <c r="U56" s="144">
        <v>17.354109999999999</v>
      </c>
      <c r="V56" s="144">
        <f t="shared" si="21"/>
        <v>17.350000000000001</v>
      </c>
      <c r="W56" s="144"/>
      <c r="X56" s="144" t="s">
        <v>74</v>
      </c>
    </row>
    <row r="57" spans="1:31" x14ac:dyDescent="0.25">
      <c r="A57" s="152" t="s">
        <v>71</v>
      </c>
      <c r="B57" s="153" t="s">
        <v>109</v>
      </c>
      <c r="C57" s="171" t="s">
        <v>110</v>
      </c>
      <c r="D57" s="154"/>
      <c r="E57" s="155"/>
      <c r="F57" s="156"/>
      <c r="G57" s="157">
        <f>SUM(G58:G60)</f>
        <v>0</v>
      </c>
      <c r="H57" s="151"/>
      <c r="I57" s="151">
        <f>SUM(I58:I75)</f>
        <v>267551.26999999996</v>
      </c>
      <c r="J57" s="151"/>
      <c r="K57" s="151">
        <f>SUM(K58:K75)</f>
        <v>40693.03</v>
      </c>
      <c r="L57" s="151"/>
      <c r="M57" s="151">
        <f>SUM(M58:M75)</f>
        <v>0</v>
      </c>
      <c r="N57" s="150"/>
      <c r="O57" s="150">
        <f>SUM(O58:O75)</f>
        <v>515.54999999999995</v>
      </c>
      <c r="P57" s="150"/>
      <c r="Q57" s="150">
        <f>SUM(Q58:Q75)</f>
        <v>0</v>
      </c>
      <c r="R57" s="151"/>
      <c r="S57" s="151"/>
      <c r="T57" s="151"/>
      <c r="U57" s="151"/>
      <c r="V57" s="151">
        <f>SUM(V58:V75)</f>
        <v>32.15</v>
      </c>
      <c r="W57" s="151"/>
      <c r="X57" s="151"/>
    </row>
    <row r="58" spans="1:31" ht="20.399999999999999" outlineLevel="1" x14ac:dyDescent="0.25">
      <c r="A58" s="165">
        <v>30</v>
      </c>
      <c r="B58" s="183" t="s">
        <v>112</v>
      </c>
      <c r="C58" s="184" t="s">
        <v>113</v>
      </c>
      <c r="D58" s="167" t="s">
        <v>81</v>
      </c>
      <c r="E58" s="185">
        <f>E60</f>
        <v>367.46305800000005</v>
      </c>
      <c r="F58" s="186">
        <v>0</v>
      </c>
      <c r="G58" s="170">
        <f t="shared" ref="G58:G60" si="22">ROUND(E58*F58,2)</f>
        <v>0</v>
      </c>
      <c r="H58" s="145">
        <v>253.17</v>
      </c>
      <c r="I58" s="144">
        <f t="shared" ref="I58:I60" si="23">ROUND(E58*H58,2)</f>
        <v>93030.62</v>
      </c>
      <c r="J58" s="145">
        <v>36.33</v>
      </c>
      <c r="K58" s="144">
        <f t="shared" ref="K58:K60" si="24">ROUND(E58*J58,2)</f>
        <v>13349.93</v>
      </c>
      <c r="L58" s="144">
        <v>15</v>
      </c>
      <c r="M58" s="144">
        <f t="shared" ref="M58:M60" si="25">G58*(1+L58/100)</f>
        <v>0</v>
      </c>
      <c r="N58" s="143">
        <v>0.55125000000000002</v>
      </c>
      <c r="O58" s="143">
        <f t="shared" ref="O58:O60" si="26">ROUND(E58*N58,2)</f>
        <v>202.56</v>
      </c>
      <c r="P58" s="143">
        <v>0</v>
      </c>
      <c r="Q58" s="143">
        <f t="shared" ref="Q58:Q60" si="27">ROUND(E58*P58,2)</f>
        <v>0</v>
      </c>
      <c r="R58" s="144"/>
      <c r="S58" s="144" t="s">
        <v>73</v>
      </c>
      <c r="T58" s="144" t="s">
        <v>73</v>
      </c>
      <c r="U58" s="144">
        <v>2.7E-2</v>
      </c>
      <c r="V58" s="144">
        <f t="shared" ref="V58:V60" si="28">ROUND(E58*U58,2)</f>
        <v>9.92</v>
      </c>
      <c r="W58" s="144"/>
      <c r="X58" s="144" t="s">
        <v>74</v>
      </c>
      <c r="Y58" s="134"/>
      <c r="Z58" s="134"/>
      <c r="AA58" s="134"/>
      <c r="AB58" s="134"/>
      <c r="AC58" s="134"/>
      <c r="AD58" s="134"/>
      <c r="AE58" s="134"/>
    </row>
    <row r="59" spans="1:31" outlineLevel="1" x14ac:dyDescent="0.25">
      <c r="A59" s="165">
        <v>31</v>
      </c>
      <c r="B59" s="183" t="s">
        <v>114</v>
      </c>
      <c r="C59" s="184" t="s">
        <v>115</v>
      </c>
      <c r="D59" s="167" t="s">
        <v>81</v>
      </c>
      <c r="E59" s="185">
        <f>E60</f>
        <v>367.46305800000005</v>
      </c>
      <c r="F59" s="186">
        <v>0</v>
      </c>
      <c r="G59" s="170">
        <f t="shared" si="22"/>
        <v>0</v>
      </c>
      <c r="H59" s="145">
        <v>40.47</v>
      </c>
      <c r="I59" s="144">
        <f t="shared" si="23"/>
        <v>14871.23</v>
      </c>
      <c r="J59" s="145">
        <v>26.63</v>
      </c>
      <c r="K59" s="144">
        <f t="shared" si="24"/>
        <v>9785.5400000000009</v>
      </c>
      <c r="L59" s="144">
        <v>15</v>
      </c>
      <c r="M59" s="144">
        <f t="shared" si="25"/>
        <v>0</v>
      </c>
      <c r="N59" s="143">
        <v>0.1008</v>
      </c>
      <c r="O59" s="143">
        <f t="shared" si="26"/>
        <v>37.04</v>
      </c>
      <c r="P59" s="143">
        <v>0</v>
      </c>
      <c r="Q59" s="143">
        <f t="shared" si="27"/>
        <v>0</v>
      </c>
      <c r="R59" s="144"/>
      <c r="S59" s="144" t="s">
        <v>73</v>
      </c>
      <c r="T59" s="144" t="s">
        <v>73</v>
      </c>
      <c r="U59" s="144">
        <v>2.5000000000000001E-2</v>
      </c>
      <c r="V59" s="144">
        <f t="shared" si="28"/>
        <v>9.19</v>
      </c>
      <c r="W59" s="144"/>
      <c r="X59" s="144" t="s">
        <v>74</v>
      </c>
      <c r="Y59" s="134"/>
      <c r="Z59" s="134"/>
      <c r="AA59" s="134"/>
      <c r="AB59" s="134"/>
      <c r="AC59" s="134"/>
      <c r="AD59" s="134"/>
      <c r="AE59" s="134"/>
    </row>
    <row r="60" spans="1:31" ht="30.6" outlineLevel="1" x14ac:dyDescent="0.25">
      <c r="A60" s="159">
        <v>32</v>
      </c>
      <c r="B60" s="160" t="s">
        <v>130</v>
      </c>
      <c r="C60" s="172" t="s">
        <v>111</v>
      </c>
      <c r="D60" s="161" t="s">
        <v>81</v>
      </c>
      <c r="E60" s="162">
        <f>E21*1.887</f>
        <v>367.46305800000005</v>
      </c>
      <c r="F60" s="163">
        <v>0</v>
      </c>
      <c r="G60" s="164">
        <f t="shared" si="22"/>
        <v>0</v>
      </c>
      <c r="H60" s="145">
        <v>101.5</v>
      </c>
      <c r="I60" s="144">
        <f t="shared" si="23"/>
        <v>37297.5</v>
      </c>
      <c r="J60" s="145">
        <v>0</v>
      </c>
      <c r="K60" s="144">
        <f t="shared" si="24"/>
        <v>0</v>
      </c>
      <c r="L60" s="144">
        <v>15</v>
      </c>
      <c r="M60" s="144">
        <f t="shared" si="25"/>
        <v>0</v>
      </c>
      <c r="N60" s="143">
        <v>2.5999999999999999E-2</v>
      </c>
      <c r="O60" s="143">
        <f t="shared" si="26"/>
        <v>9.5500000000000007</v>
      </c>
      <c r="P60" s="143">
        <v>0</v>
      </c>
      <c r="Q60" s="143">
        <f t="shared" si="27"/>
        <v>0</v>
      </c>
      <c r="R60" s="144" t="s">
        <v>82</v>
      </c>
      <c r="S60" s="144" t="s">
        <v>73</v>
      </c>
      <c r="T60" s="144" t="s">
        <v>73</v>
      </c>
      <c r="U60" s="144">
        <v>0</v>
      </c>
      <c r="V60" s="144">
        <f t="shared" si="28"/>
        <v>0</v>
      </c>
      <c r="W60" s="144"/>
      <c r="X60" s="144" t="s">
        <v>83</v>
      </c>
      <c r="Y60" s="134"/>
      <c r="Z60" s="134"/>
      <c r="AA60" s="134"/>
      <c r="AB60" s="134"/>
      <c r="AC60" s="134"/>
      <c r="AD60" s="134"/>
      <c r="AE60" s="134"/>
    </row>
    <row r="61" spans="1:31" x14ac:dyDescent="0.25">
      <c r="A61" s="152" t="s">
        <v>71</v>
      </c>
      <c r="B61" s="153" t="s">
        <v>48</v>
      </c>
      <c r="C61" s="171" t="s">
        <v>49</v>
      </c>
      <c r="D61" s="154"/>
      <c r="E61" s="155"/>
      <c r="F61" s="156"/>
      <c r="G61" s="157">
        <f>G62</f>
        <v>0</v>
      </c>
      <c r="H61" s="151"/>
      <c r="I61" s="151">
        <f>SUM(I62:I70)</f>
        <v>61175.96</v>
      </c>
      <c r="J61" s="151"/>
      <c r="K61" s="151">
        <f>SUM(K62:K70)</f>
        <v>8778.7800000000007</v>
      </c>
      <c r="L61" s="151"/>
      <c r="M61" s="151">
        <f>SUM(M62:M70)</f>
        <v>0</v>
      </c>
      <c r="N61" s="150"/>
      <c r="O61" s="150">
        <f>SUM(O62:O70)</f>
        <v>133.19999999999999</v>
      </c>
      <c r="P61" s="150"/>
      <c r="Q61" s="150">
        <f>SUM(Q62:Q70)</f>
        <v>0</v>
      </c>
      <c r="R61" s="151"/>
      <c r="S61" s="151"/>
      <c r="T61" s="151"/>
      <c r="U61" s="151"/>
      <c r="V61" s="151">
        <f>SUM(V62:V70)</f>
        <v>6.52</v>
      </c>
      <c r="W61" s="151"/>
      <c r="X61" s="151"/>
    </row>
    <row r="62" spans="1:31" outlineLevel="1" x14ac:dyDescent="0.25">
      <c r="A62" s="187">
        <v>33</v>
      </c>
      <c r="B62" s="188" t="s">
        <v>85</v>
      </c>
      <c r="C62" s="189" t="s">
        <v>86</v>
      </c>
      <c r="D62" s="190" t="s">
        <v>81</v>
      </c>
      <c r="E62" s="191">
        <f>E33*0.25*1.9+E34*0.04*2+E36*0.0261+E40*0.0589+E47*0.025</f>
        <v>241.63984500091351</v>
      </c>
      <c r="F62" s="192">
        <v>0</v>
      </c>
      <c r="G62" s="193">
        <f>E62*F62</f>
        <v>0</v>
      </c>
      <c r="H62" s="145">
        <v>253.17</v>
      </c>
      <c r="I62" s="144">
        <f t="shared" ref="I62" si="29">ROUND(E62*H62,2)</f>
        <v>61175.96</v>
      </c>
      <c r="J62" s="145">
        <v>36.33</v>
      </c>
      <c r="K62" s="144">
        <f t="shared" ref="K62" si="30">ROUND(E62*J62,2)</f>
        <v>8778.7800000000007</v>
      </c>
      <c r="L62" s="144">
        <v>15</v>
      </c>
      <c r="M62" s="144">
        <f t="shared" ref="M62" si="31">G62*(1+L62/100)</f>
        <v>0</v>
      </c>
      <c r="N62" s="143">
        <v>0.55125000000000002</v>
      </c>
      <c r="O62" s="143">
        <f t="shared" ref="O62" si="32">ROUND(E62*N62,2)</f>
        <v>133.19999999999999</v>
      </c>
      <c r="P62" s="143">
        <v>0</v>
      </c>
      <c r="Q62" s="143">
        <f t="shared" ref="Q62" si="33">ROUND(E62*P62,2)</f>
        <v>0</v>
      </c>
      <c r="R62" s="144"/>
      <c r="S62" s="144" t="s">
        <v>73</v>
      </c>
      <c r="T62" s="144" t="s">
        <v>73</v>
      </c>
      <c r="U62" s="144">
        <v>2.7E-2</v>
      </c>
      <c r="V62" s="144">
        <f t="shared" ref="V62" si="34">ROUND(E62*U62,2)</f>
        <v>6.52</v>
      </c>
      <c r="W62" s="144"/>
      <c r="X62" s="144" t="s">
        <v>74</v>
      </c>
      <c r="Y62" s="134"/>
      <c r="Z62" s="134"/>
      <c r="AA62" s="134"/>
      <c r="AB62" s="134"/>
      <c r="AC62" s="134"/>
      <c r="AD62" s="134"/>
      <c r="AE62" s="134"/>
    </row>
    <row r="63" spans="1:31" x14ac:dyDescent="0.25">
      <c r="A63" s="3"/>
      <c r="B63" s="4"/>
      <c r="C63" s="176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31" x14ac:dyDescent="0.25">
      <c r="A64" s="137"/>
      <c r="B64" s="138" t="s">
        <v>27</v>
      </c>
      <c r="C64" s="177"/>
      <c r="D64" s="139"/>
      <c r="E64" s="140"/>
      <c r="F64" s="140"/>
      <c r="G64" s="158">
        <f>G57+G61+G32+G8+G23+G50</f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25">
      <c r="A65" s="3"/>
      <c r="B65" s="4"/>
      <c r="C65" s="176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5">
      <c r="A66" s="3"/>
      <c r="B66" s="4"/>
      <c r="C66" s="176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5">
      <c r="A67" s="3"/>
      <c r="B67" s="4"/>
      <c r="C67" s="176"/>
      <c r="D67" s="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5">
      <c r="C68" s="178"/>
      <c r="D68" s="10"/>
    </row>
    <row r="69" spans="1:24" x14ac:dyDescent="0.25">
      <c r="D69" s="10"/>
    </row>
    <row r="70" spans="1:24" x14ac:dyDescent="0.25">
      <c r="D70" s="10"/>
    </row>
    <row r="71" spans="1:24" x14ac:dyDescent="0.25">
      <c r="D71" s="10"/>
    </row>
    <row r="72" spans="1:24" x14ac:dyDescent="0.25">
      <c r="D72" s="10"/>
    </row>
    <row r="73" spans="1:24" x14ac:dyDescent="0.25">
      <c r="D73" s="10"/>
    </row>
    <row r="74" spans="1:24" x14ac:dyDescent="0.25">
      <c r="D74" s="10"/>
    </row>
    <row r="75" spans="1:24" x14ac:dyDescent="0.25">
      <c r="D75" s="10"/>
    </row>
    <row r="76" spans="1:24" x14ac:dyDescent="0.25">
      <c r="D76" s="10"/>
    </row>
    <row r="77" spans="1:24" x14ac:dyDescent="0.25">
      <c r="D77" s="10"/>
    </row>
    <row r="78" spans="1:24" x14ac:dyDescent="0.25">
      <c r="D78" s="10"/>
    </row>
    <row r="79" spans="1:24" x14ac:dyDescent="0.25">
      <c r="D79" s="10"/>
    </row>
    <row r="80" spans="1:2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  <row r="5001" spans="4:4" x14ac:dyDescent="0.25">
      <c r="D5001" s="10"/>
    </row>
    <row r="5002" spans="4:4" x14ac:dyDescent="0.25">
      <c r="D5002" s="10"/>
    </row>
    <row r="5003" spans="4:4" x14ac:dyDescent="0.25">
      <c r="D5003" s="10"/>
    </row>
    <row r="5004" spans="4:4" x14ac:dyDescent="0.25">
      <c r="D5004" s="10"/>
    </row>
    <row r="5005" spans="4:4" x14ac:dyDescent="0.25">
      <c r="D5005" s="10"/>
    </row>
    <row r="5006" spans="4:4" x14ac:dyDescent="0.25">
      <c r="D5006" s="10"/>
    </row>
    <row r="5007" spans="4:4" x14ac:dyDescent="0.25">
      <c r="D5007" s="10"/>
    </row>
    <row r="5008" spans="4:4" x14ac:dyDescent="0.25">
      <c r="D5008" s="10"/>
    </row>
    <row r="5009" spans="4:4" x14ac:dyDescent="0.25">
      <c r="D5009" s="10"/>
    </row>
    <row r="5010" spans="4:4" x14ac:dyDescent="0.25">
      <c r="D5010" s="10"/>
    </row>
    <row r="5011" spans="4:4" x14ac:dyDescent="0.25">
      <c r="D5011" s="10"/>
    </row>
    <row r="5012" spans="4:4" x14ac:dyDescent="0.25">
      <c r="D5012" s="10"/>
    </row>
    <row r="5013" spans="4:4" x14ac:dyDescent="0.25">
      <c r="D5013" s="10"/>
    </row>
    <row r="5014" spans="4:4" x14ac:dyDescent="0.25">
      <c r="D5014" s="10"/>
    </row>
    <row r="5015" spans="4:4" x14ac:dyDescent="0.25">
      <c r="D5015" s="10"/>
    </row>
    <row r="5016" spans="4:4" x14ac:dyDescent="0.25">
      <c r="D5016" s="10"/>
    </row>
    <row r="5017" spans="4:4" x14ac:dyDescent="0.25">
      <c r="D5017" s="10"/>
    </row>
    <row r="5018" spans="4:4" x14ac:dyDescent="0.25">
      <c r="D5018" s="10"/>
    </row>
    <row r="5019" spans="4:4" x14ac:dyDescent="0.25">
      <c r="D5019" s="10"/>
    </row>
    <row r="5020" spans="4:4" x14ac:dyDescent="0.25">
      <c r="D5020" s="10"/>
    </row>
    <row r="5021" spans="4:4" x14ac:dyDescent="0.25">
      <c r="D5021" s="10"/>
    </row>
    <row r="5022" spans="4:4" x14ac:dyDescent="0.25">
      <c r="D5022" s="10"/>
    </row>
    <row r="5023" spans="4:4" x14ac:dyDescent="0.25">
      <c r="D5023" s="10"/>
    </row>
    <row r="5024" spans="4:4" x14ac:dyDescent="0.25">
      <c r="D5024" s="10"/>
    </row>
    <row r="5025" spans="4:4" x14ac:dyDescent="0.25">
      <c r="D5025" s="10"/>
    </row>
    <row r="5026" spans="4:4" x14ac:dyDescent="0.25">
      <c r="D5026" s="10"/>
    </row>
    <row r="5027" spans="4:4" x14ac:dyDescent="0.25">
      <c r="D5027" s="10"/>
    </row>
    <row r="5028" spans="4:4" x14ac:dyDescent="0.25">
      <c r="D5028" s="10"/>
    </row>
    <row r="5029" spans="4:4" x14ac:dyDescent="0.25">
      <c r="D5029" s="10"/>
    </row>
  </sheetData>
  <sheetProtection algorithmName="SHA-512" hashValue="KZL/HQ7XTAEDRwKe3dx6q/SpKDTDaRtNw0sssY54MXgRZp8fgq+b0uN8iavneNbWAr7YaiscAL+4CIYW1nY6Pw==" saltValue="sTr6D/WtjfZEWZutnRXc0g==" spinCount="100000" sheet="1" objects="1" scenarios="1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02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1 Pol'!Názvy_tisku</vt:lpstr>
      <vt:lpstr>oadresa</vt:lpstr>
      <vt:lpstr>Stavba!Objednatel</vt:lpstr>
      <vt:lpstr>Stavba!Objekt</vt:lpstr>
      <vt:lpstr>'02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Člověk</dc:creator>
  <cp:lastModifiedBy>Tomáš Pasecký</cp:lastModifiedBy>
  <cp:lastPrinted>2019-03-19T12:27:02Z</cp:lastPrinted>
  <dcterms:created xsi:type="dcterms:W3CDTF">2009-04-08T07:15:50Z</dcterms:created>
  <dcterms:modified xsi:type="dcterms:W3CDTF">2024-03-19T17:01:08Z</dcterms:modified>
</cp:coreProperties>
</file>