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hrib\Desktop\INVICE\Zakázky\Budyně n. Ohří - Pražská (IROP 78)\projektova dokumentace\D. Dokumentace objektů a technických a technologických zařízení\D.1.1. Architektonicko-stavební řešení\výkaz výměr\"/>
    </mc:Choice>
  </mc:AlternateContent>
  <xr:revisionPtr revIDLastSave="0" documentId="13_ncr:1_{A5C93E1C-31A9-4A95-81AA-AF7371A5F34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tavební rozpočet" sheetId="1" r:id="rId1"/>
    <sheet name="Krycí list rozpočtu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2" l="1"/>
  <c r="F2" i="2"/>
  <c r="C4" i="2"/>
  <c r="F4" i="2"/>
  <c r="C6" i="2"/>
  <c r="F6" i="2"/>
  <c r="C8" i="2"/>
  <c r="F8" i="2"/>
  <c r="C10" i="2"/>
  <c r="F10" i="2"/>
  <c r="I10" i="2"/>
  <c r="F22" i="2"/>
  <c r="I22" i="2"/>
  <c r="J12" i="1"/>
  <c r="J13" i="1"/>
  <c r="K13" i="1"/>
  <c r="Z13" i="1"/>
  <c r="AD13" i="1"/>
  <c r="AE13" i="1"/>
  <c r="AF13" i="1"/>
  <c r="AG13" i="1"/>
  <c r="AH13" i="1"/>
  <c r="AJ13" i="1"/>
  <c r="AS12" i="1" s="1"/>
  <c r="AL13" i="1"/>
  <c r="AU12" i="1" s="1"/>
  <c r="AO13" i="1"/>
  <c r="I13" i="1" s="1"/>
  <c r="I12" i="1" s="1"/>
  <c r="AP13" i="1"/>
  <c r="BI13" i="1" s="1"/>
  <c r="AC13" i="1" s="1"/>
  <c r="AW13" i="1"/>
  <c r="AX13" i="1"/>
  <c r="BD13" i="1"/>
  <c r="BF13" i="1"/>
  <c r="BH13" i="1"/>
  <c r="AB13" i="1" s="1"/>
  <c r="BJ13" i="1"/>
  <c r="I16" i="1"/>
  <c r="I15" i="1" s="1"/>
  <c r="K16" i="1"/>
  <c r="Z16" i="1"/>
  <c r="AD16" i="1"/>
  <c r="AE16" i="1"/>
  <c r="AF16" i="1"/>
  <c r="AG16" i="1"/>
  <c r="AH16" i="1"/>
  <c r="AJ16" i="1"/>
  <c r="AK16" i="1"/>
  <c r="AL16" i="1"/>
  <c r="AO16" i="1"/>
  <c r="AP16" i="1"/>
  <c r="J16" i="1" s="1"/>
  <c r="AX16" i="1"/>
  <c r="BD16" i="1"/>
  <c r="BF16" i="1"/>
  <c r="BI16" i="1"/>
  <c r="AC16" i="1" s="1"/>
  <c r="BJ16" i="1"/>
  <c r="J18" i="1"/>
  <c r="J15" i="1" s="1"/>
  <c r="K18" i="1"/>
  <c r="AK18" i="1" s="1"/>
  <c r="Z18" i="1"/>
  <c r="AD18" i="1"/>
  <c r="AE18" i="1"/>
  <c r="AF18" i="1"/>
  <c r="AG18" i="1"/>
  <c r="AH18" i="1"/>
  <c r="AJ18" i="1"/>
  <c r="AL18" i="1"/>
  <c r="AU15" i="1" s="1"/>
  <c r="AO18" i="1"/>
  <c r="I18" i="1" s="1"/>
  <c r="AP18" i="1"/>
  <c r="BI18" i="1" s="1"/>
  <c r="AC18" i="1" s="1"/>
  <c r="AW18" i="1"/>
  <c r="AX18" i="1"/>
  <c r="BD18" i="1"/>
  <c r="BF18" i="1"/>
  <c r="BH18" i="1"/>
  <c r="AB18" i="1" s="1"/>
  <c r="BJ18" i="1"/>
  <c r="I20" i="1"/>
  <c r="J20" i="1"/>
  <c r="K20" i="1"/>
  <c r="Z20" i="1"/>
  <c r="AB20" i="1"/>
  <c r="AC20" i="1"/>
  <c r="AD20" i="1"/>
  <c r="AE20" i="1"/>
  <c r="AF20" i="1"/>
  <c r="AG20" i="1"/>
  <c r="AH20" i="1"/>
  <c r="AJ20" i="1"/>
  <c r="AK20" i="1"/>
  <c r="AL20" i="1"/>
  <c r="AO20" i="1"/>
  <c r="AP20" i="1"/>
  <c r="AV20" i="1"/>
  <c r="AW20" i="1"/>
  <c r="BC20" i="1" s="1"/>
  <c r="AX20" i="1"/>
  <c r="BD20" i="1"/>
  <c r="BF20" i="1"/>
  <c r="BH20" i="1"/>
  <c r="BI20" i="1"/>
  <c r="BJ20" i="1"/>
  <c r="K23" i="1"/>
  <c r="Z23" i="1"/>
  <c r="AD23" i="1"/>
  <c r="AE23" i="1"/>
  <c r="AF23" i="1"/>
  <c r="AG23" i="1"/>
  <c r="AH23" i="1"/>
  <c r="AJ23" i="1"/>
  <c r="AS22" i="1" s="1"/>
  <c r="AL23" i="1"/>
  <c r="AU22" i="1" s="1"/>
  <c r="AO23" i="1"/>
  <c r="AP23" i="1"/>
  <c r="AX23" i="1" s="1"/>
  <c r="BD23" i="1"/>
  <c r="BF23" i="1"/>
  <c r="BI23" i="1"/>
  <c r="AC23" i="1" s="1"/>
  <c r="BJ23" i="1"/>
  <c r="J25" i="1"/>
  <c r="K25" i="1"/>
  <c r="AK25" i="1" s="1"/>
  <c r="Z25" i="1"/>
  <c r="AC25" i="1"/>
  <c r="AD25" i="1"/>
  <c r="AE25" i="1"/>
  <c r="AF25" i="1"/>
  <c r="AG25" i="1"/>
  <c r="AH25" i="1"/>
  <c r="AJ25" i="1"/>
  <c r="AL25" i="1"/>
  <c r="AO25" i="1"/>
  <c r="AP25" i="1"/>
  <c r="AX25" i="1"/>
  <c r="BD25" i="1"/>
  <c r="BF25" i="1"/>
  <c r="BI25" i="1"/>
  <c r="BJ25" i="1"/>
  <c r="J28" i="1"/>
  <c r="J27" i="1" s="1"/>
  <c r="K28" i="1"/>
  <c r="Z28" i="1"/>
  <c r="AD28" i="1"/>
  <c r="AE28" i="1"/>
  <c r="AF28" i="1"/>
  <c r="AG28" i="1"/>
  <c r="AH28" i="1"/>
  <c r="AJ28" i="1"/>
  <c r="AS27" i="1" s="1"/>
  <c r="AL28" i="1"/>
  <c r="AU27" i="1" s="1"/>
  <c r="AO28" i="1"/>
  <c r="I28" i="1" s="1"/>
  <c r="I27" i="1" s="1"/>
  <c r="AP28" i="1"/>
  <c r="AW28" i="1"/>
  <c r="BD28" i="1"/>
  <c r="BF28" i="1"/>
  <c r="BH28" i="1"/>
  <c r="AB28" i="1" s="1"/>
  <c r="BJ28" i="1"/>
  <c r="AT33" i="1"/>
  <c r="AU33" i="1"/>
  <c r="K34" i="1"/>
  <c r="Z34" i="1"/>
  <c r="AB34" i="1"/>
  <c r="AD34" i="1"/>
  <c r="AE34" i="1"/>
  <c r="AF34" i="1"/>
  <c r="AG34" i="1"/>
  <c r="AH34" i="1"/>
  <c r="AJ34" i="1"/>
  <c r="AK34" i="1"/>
  <c r="AL34" i="1"/>
  <c r="AO34" i="1"/>
  <c r="AW34" i="1" s="1"/>
  <c r="AP34" i="1"/>
  <c r="J34" i="1" s="1"/>
  <c r="AX34" i="1"/>
  <c r="BD34" i="1"/>
  <c r="BF34" i="1"/>
  <c r="BH34" i="1"/>
  <c r="BI34" i="1"/>
  <c r="AC34" i="1" s="1"/>
  <c r="BJ34" i="1"/>
  <c r="K36" i="1"/>
  <c r="AK36" i="1" s="1"/>
  <c r="Z36" i="1"/>
  <c r="AD36" i="1"/>
  <c r="AE36" i="1"/>
  <c r="AF36" i="1"/>
  <c r="AG36" i="1"/>
  <c r="AH36" i="1"/>
  <c r="AJ36" i="1"/>
  <c r="AL36" i="1"/>
  <c r="AO36" i="1"/>
  <c r="I36" i="1" s="1"/>
  <c r="AP36" i="1"/>
  <c r="AW36" i="1"/>
  <c r="BD36" i="1"/>
  <c r="BF36" i="1"/>
  <c r="BH36" i="1"/>
  <c r="AB36" i="1" s="1"/>
  <c r="BJ36" i="1"/>
  <c r="K44" i="1"/>
  <c r="Z44" i="1"/>
  <c r="AB44" i="1"/>
  <c r="AD44" i="1"/>
  <c r="AE44" i="1"/>
  <c r="AF44" i="1"/>
  <c r="AG44" i="1"/>
  <c r="AH44" i="1"/>
  <c r="AJ44" i="1"/>
  <c r="AK44" i="1"/>
  <c r="AL44" i="1"/>
  <c r="AO44" i="1"/>
  <c r="AW44" i="1" s="1"/>
  <c r="AP44" i="1"/>
  <c r="J44" i="1" s="1"/>
  <c r="AX44" i="1"/>
  <c r="BC44" i="1" s="1"/>
  <c r="BD44" i="1"/>
  <c r="BF44" i="1"/>
  <c r="BH44" i="1"/>
  <c r="BI44" i="1"/>
  <c r="AC44" i="1" s="1"/>
  <c r="BJ44" i="1"/>
  <c r="J48" i="1"/>
  <c r="K48" i="1"/>
  <c r="AK48" i="1" s="1"/>
  <c r="Z48" i="1"/>
  <c r="AD48" i="1"/>
  <c r="AE48" i="1"/>
  <c r="AF48" i="1"/>
  <c r="AG48" i="1"/>
  <c r="AH48" i="1"/>
  <c r="AJ48" i="1"/>
  <c r="AL48" i="1"/>
  <c r="AO48" i="1"/>
  <c r="I48" i="1" s="1"/>
  <c r="AP48" i="1"/>
  <c r="BI48" i="1" s="1"/>
  <c r="AC48" i="1" s="1"/>
  <c r="AW48" i="1"/>
  <c r="AX48" i="1"/>
  <c r="BD48" i="1"/>
  <c r="BF48" i="1"/>
  <c r="BH48" i="1"/>
  <c r="AB48" i="1" s="1"/>
  <c r="BJ48" i="1"/>
  <c r="I53" i="1"/>
  <c r="J53" i="1"/>
  <c r="K53" i="1"/>
  <c r="Z53" i="1"/>
  <c r="AC53" i="1"/>
  <c r="AD53" i="1"/>
  <c r="AE53" i="1"/>
  <c r="AF53" i="1"/>
  <c r="AG53" i="1"/>
  <c r="AH53" i="1"/>
  <c r="AJ53" i="1"/>
  <c r="AK53" i="1"/>
  <c r="AL53" i="1"/>
  <c r="AO53" i="1"/>
  <c r="AP53" i="1"/>
  <c r="AW53" i="1"/>
  <c r="AX53" i="1"/>
  <c r="BD53" i="1"/>
  <c r="BF53" i="1"/>
  <c r="BH53" i="1"/>
  <c r="AB53" i="1" s="1"/>
  <c r="BI53" i="1"/>
  <c r="BJ53" i="1"/>
  <c r="I58" i="1"/>
  <c r="J58" i="1"/>
  <c r="K58" i="1"/>
  <c r="Z58" i="1"/>
  <c r="AB58" i="1"/>
  <c r="AD58" i="1"/>
  <c r="AE58" i="1"/>
  <c r="AF58" i="1"/>
  <c r="AG58" i="1"/>
  <c r="AH58" i="1"/>
  <c r="AJ58" i="1"/>
  <c r="AK58" i="1"/>
  <c r="AL58" i="1"/>
  <c r="AO58" i="1"/>
  <c r="AP58" i="1"/>
  <c r="AW58" i="1"/>
  <c r="BD58" i="1"/>
  <c r="BF58" i="1"/>
  <c r="BH58" i="1"/>
  <c r="BJ58" i="1"/>
  <c r="I63" i="1"/>
  <c r="K63" i="1"/>
  <c r="AK63" i="1" s="1"/>
  <c r="Z63" i="1"/>
  <c r="AD63" i="1"/>
  <c r="AE63" i="1"/>
  <c r="AF63" i="1"/>
  <c r="AG63" i="1"/>
  <c r="AH63" i="1"/>
  <c r="AJ63" i="1"/>
  <c r="AL63" i="1"/>
  <c r="AO63" i="1"/>
  <c r="AW63" i="1" s="1"/>
  <c r="AP63" i="1"/>
  <c r="AX63" i="1"/>
  <c r="BD63" i="1"/>
  <c r="BF63" i="1"/>
  <c r="BH63" i="1"/>
  <c r="AB63" i="1" s="1"/>
  <c r="BJ63" i="1"/>
  <c r="K67" i="1"/>
  <c r="AK67" i="1" s="1"/>
  <c r="Z67" i="1"/>
  <c r="AD67" i="1"/>
  <c r="AE67" i="1"/>
  <c r="AF67" i="1"/>
  <c r="AG67" i="1"/>
  <c r="AH67" i="1"/>
  <c r="AJ67" i="1"/>
  <c r="AL67" i="1"/>
  <c r="AO67" i="1"/>
  <c r="I67" i="1" s="1"/>
  <c r="AP67" i="1"/>
  <c r="J67" i="1" s="1"/>
  <c r="AW67" i="1"/>
  <c r="AX67" i="1"/>
  <c r="BD67" i="1"/>
  <c r="BF67" i="1"/>
  <c r="BH67" i="1"/>
  <c r="AB67" i="1" s="1"/>
  <c r="BI67" i="1"/>
  <c r="AC67" i="1" s="1"/>
  <c r="BJ67" i="1"/>
  <c r="I74" i="1"/>
  <c r="J74" i="1"/>
  <c r="K74" i="1"/>
  <c r="Z74" i="1"/>
  <c r="AC74" i="1"/>
  <c r="AD74" i="1"/>
  <c r="AE74" i="1"/>
  <c r="AF74" i="1"/>
  <c r="AG74" i="1"/>
  <c r="AH74" i="1"/>
  <c r="AJ74" i="1"/>
  <c r="AK74" i="1"/>
  <c r="AL74" i="1"/>
  <c r="AO74" i="1"/>
  <c r="AP74" i="1"/>
  <c r="AW74" i="1"/>
  <c r="AX74" i="1"/>
  <c r="BD74" i="1"/>
  <c r="BF74" i="1"/>
  <c r="BH74" i="1"/>
  <c r="AB74" i="1" s="1"/>
  <c r="BI74" i="1"/>
  <c r="BJ74" i="1"/>
  <c r="I80" i="1"/>
  <c r="J80" i="1"/>
  <c r="K80" i="1"/>
  <c r="Z80" i="1"/>
  <c r="AB80" i="1"/>
  <c r="AC80" i="1"/>
  <c r="AD80" i="1"/>
  <c r="AE80" i="1"/>
  <c r="AF80" i="1"/>
  <c r="AG80" i="1"/>
  <c r="AH80" i="1"/>
  <c r="AJ80" i="1"/>
  <c r="AK80" i="1"/>
  <c r="AL80" i="1"/>
  <c r="AO80" i="1"/>
  <c r="AP80" i="1"/>
  <c r="AX80" i="1" s="1"/>
  <c r="AW80" i="1"/>
  <c r="BD80" i="1"/>
  <c r="BF80" i="1"/>
  <c r="BH80" i="1"/>
  <c r="BI80" i="1"/>
  <c r="BJ80" i="1"/>
  <c r="I84" i="1"/>
  <c r="K84" i="1"/>
  <c r="Z84" i="1"/>
  <c r="AD84" i="1"/>
  <c r="AE84" i="1"/>
  <c r="AF84" i="1"/>
  <c r="AG84" i="1"/>
  <c r="AH84" i="1"/>
  <c r="AJ84" i="1"/>
  <c r="AK84" i="1"/>
  <c r="AL84" i="1"/>
  <c r="AO84" i="1"/>
  <c r="AP84" i="1"/>
  <c r="BD84" i="1"/>
  <c r="BF84" i="1"/>
  <c r="BI84" i="1"/>
  <c r="AC84" i="1" s="1"/>
  <c r="BJ84" i="1"/>
  <c r="J88" i="1"/>
  <c r="K88" i="1"/>
  <c r="AK88" i="1" s="1"/>
  <c r="Z88" i="1"/>
  <c r="AD88" i="1"/>
  <c r="AE88" i="1"/>
  <c r="AF88" i="1"/>
  <c r="AG88" i="1"/>
  <c r="AH88" i="1"/>
  <c r="AJ88" i="1"/>
  <c r="AL88" i="1"/>
  <c r="AO88" i="1"/>
  <c r="AP88" i="1"/>
  <c r="BI88" i="1" s="1"/>
  <c r="AC88" i="1" s="1"/>
  <c r="AX88" i="1"/>
  <c r="BD88" i="1"/>
  <c r="BF88" i="1"/>
  <c r="BH88" i="1"/>
  <c r="AB88" i="1" s="1"/>
  <c r="BJ88" i="1"/>
  <c r="J97" i="1"/>
  <c r="K97" i="1"/>
  <c r="AK97" i="1" s="1"/>
  <c r="Z97" i="1"/>
  <c r="AC97" i="1"/>
  <c r="AD97" i="1"/>
  <c r="AE97" i="1"/>
  <c r="AF97" i="1"/>
  <c r="AG97" i="1"/>
  <c r="AH97" i="1"/>
  <c r="AJ97" i="1"/>
  <c r="AL97" i="1"/>
  <c r="AO97" i="1"/>
  <c r="I97" i="1" s="1"/>
  <c r="AP97" i="1"/>
  <c r="AW97" i="1"/>
  <c r="AX97" i="1"/>
  <c r="BD97" i="1"/>
  <c r="BF97" i="1"/>
  <c r="BH97" i="1"/>
  <c r="AB97" i="1" s="1"/>
  <c r="BI97" i="1"/>
  <c r="BJ97" i="1"/>
  <c r="I99" i="1"/>
  <c r="J99" i="1"/>
  <c r="K99" i="1"/>
  <c r="Z99" i="1"/>
  <c r="AB99" i="1"/>
  <c r="AD99" i="1"/>
  <c r="AE99" i="1"/>
  <c r="AF99" i="1"/>
  <c r="AG99" i="1"/>
  <c r="AH99" i="1"/>
  <c r="AJ99" i="1"/>
  <c r="AK99" i="1"/>
  <c r="AL99" i="1"/>
  <c r="AO99" i="1"/>
  <c r="AP99" i="1"/>
  <c r="AX99" i="1" s="1"/>
  <c r="AW99" i="1"/>
  <c r="BD99" i="1"/>
  <c r="BF99" i="1"/>
  <c r="BH99" i="1"/>
  <c r="BI99" i="1"/>
  <c r="AC99" i="1" s="1"/>
  <c r="BJ99" i="1"/>
  <c r="K108" i="1"/>
  <c r="Z108" i="1"/>
  <c r="AD108" i="1"/>
  <c r="AE108" i="1"/>
  <c r="AF108" i="1"/>
  <c r="AG108" i="1"/>
  <c r="AH108" i="1"/>
  <c r="AJ108" i="1"/>
  <c r="AK108" i="1"/>
  <c r="AL108" i="1"/>
  <c r="AO108" i="1"/>
  <c r="AW108" i="1" s="1"/>
  <c r="AP108" i="1"/>
  <c r="AV108" i="1"/>
  <c r="AX108" i="1"/>
  <c r="BC108" i="1" s="1"/>
  <c r="BD108" i="1"/>
  <c r="BF108" i="1"/>
  <c r="BH108" i="1"/>
  <c r="AB108" i="1" s="1"/>
  <c r="BJ108" i="1"/>
  <c r="K117" i="1"/>
  <c r="AK117" i="1" s="1"/>
  <c r="Z117" i="1"/>
  <c r="AD117" i="1"/>
  <c r="AE117" i="1"/>
  <c r="AF117" i="1"/>
  <c r="AG117" i="1"/>
  <c r="AH117" i="1"/>
  <c r="AJ117" i="1"/>
  <c r="AL117" i="1"/>
  <c r="AO117" i="1"/>
  <c r="AP117" i="1"/>
  <c r="BD117" i="1"/>
  <c r="BF117" i="1"/>
  <c r="BJ117" i="1"/>
  <c r="I120" i="1"/>
  <c r="J120" i="1"/>
  <c r="K120" i="1"/>
  <c r="Z120" i="1"/>
  <c r="AC120" i="1"/>
  <c r="AD120" i="1"/>
  <c r="AE120" i="1"/>
  <c r="AF120" i="1"/>
  <c r="AG120" i="1"/>
  <c r="AH120" i="1"/>
  <c r="AJ120" i="1"/>
  <c r="AK120" i="1"/>
  <c r="AL120" i="1"/>
  <c r="AO120" i="1"/>
  <c r="AP120" i="1"/>
  <c r="AX120" i="1"/>
  <c r="BD120" i="1"/>
  <c r="BF120" i="1"/>
  <c r="BI120" i="1"/>
  <c r="BJ120" i="1"/>
  <c r="I125" i="1"/>
  <c r="K125" i="1"/>
  <c r="Z125" i="1"/>
  <c r="AB125" i="1"/>
  <c r="AD125" i="1"/>
  <c r="AE125" i="1"/>
  <c r="AF125" i="1"/>
  <c r="AG125" i="1"/>
  <c r="AH125" i="1"/>
  <c r="AJ125" i="1"/>
  <c r="AK125" i="1"/>
  <c r="AL125" i="1"/>
  <c r="AO125" i="1"/>
  <c r="AP125" i="1"/>
  <c r="AW125" i="1"/>
  <c r="BD125" i="1"/>
  <c r="BF125" i="1"/>
  <c r="BH125" i="1"/>
  <c r="BJ125" i="1"/>
  <c r="AS132" i="1"/>
  <c r="I133" i="1"/>
  <c r="J133" i="1"/>
  <c r="K133" i="1"/>
  <c r="Z133" i="1"/>
  <c r="AB133" i="1"/>
  <c r="AC133" i="1"/>
  <c r="AF133" i="1"/>
  <c r="AG133" i="1"/>
  <c r="AH133" i="1"/>
  <c r="AJ133" i="1"/>
  <c r="AL133" i="1"/>
  <c r="AO133" i="1"/>
  <c r="AP133" i="1"/>
  <c r="AW133" i="1"/>
  <c r="AX133" i="1"/>
  <c r="BD133" i="1"/>
  <c r="BF133" i="1"/>
  <c r="BH133" i="1"/>
  <c r="AD133" i="1" s="1"/>
  <c r="BI133" i="1"/>
  <c r="AE133" i="1" s="1"/>
  <c r="BJ133" i="1"/>
  <c r="I135" i="1"/>
  <c r="J135" i="1"/>
  <c r="K135" i="1"/>
  <c r="Z135" i="1"/>
  <c r="AB135" i="1"/>
  <c r="AC135" i="1"/>
  <c r="AF135" i="1"/>
  <c r="AG135" i="1"/>
  <c r="AH135" i="1"/>
  <c r="AJ135" i="1"/>
  <c r="AK135" i="1"/>
  <c r="AL135" i="1"/>
  <c r="AO135" i="1"/>
  <c r="AP135" i="1"/>
  <c r="AX135" i="1" s="1"/>
  <c r="AW135" i="1"/>
  <c r="BC135" i="1" s="1"/>
  <c r="BD135" i="1"/>
  <c r="BF135" i="1"/>
  <c r="BH135" i="1"/>
  <c r="AD135" i="1" s="1"/>
  <c r="BI135" i="1"/>
  <c r="AE135" i="1" s="1"/>
  <c r="BJ135" i="1"/>
  <c r="I139" i="1"/>
  <c r="K139" i="1"/>
  <c r="AK139" i="1" s="1"/>
  <c r="Z139" i="1"/>
  <c r="AB139" i="1"/>
  <c r="AC139" i="1"/>
  <c r="AF139" i="1"/>
  <c r="AG139" i="1"/>
  <c r="AH139" i="1"/>
  <c r="AJ139" i="1"/>
  <c r="AL139" i="1"/>
  <c r="AO139" i="1"/>
  <c r="AP139" i="1"/>
  <c r="BD139" i="1"/>
  <c r="BF139" i="1"/>
  <c r="BJ139" i="1"/>
  <c r="K141" i="1"/>
  <c r="AK141" i="1" s="1"/>
  <c r="Z141" i="1"/>
  <c r="AB141" i="1"/>
  <c r="AC141" i="1"/>
  <c r="AD141" i="1"/>
  <c r="AF141" i="1"/>
  <c r="AG141" i="1"/>
  <c r="AH141" i="1"/>
  <c r="AJ141" i="1"/>
  <c r="AL141" i="1"/>
  <c r="AO141" i="1"/>
  <c r="I141" i="1" s="1"/>
  <c r="AP141" i="1"/>
  <c r="AW141" i="1"/>
  <c r="AX141" i="1"/>
  <c r="BD141" i="1"/>
  <c r="BF141" i="1"/>
  <c r="BH141" i="1"/>
  <c r="BJ141" i="1"/>
  <c r="J144" i="1"/>
  <c r="K144" i="1"/>
  <c r="Z144" i="1"/>
  <c r="AB144" i="1"/>
  <c r="AC144" i="1"/>
  <c r="AF144" i="1"/>
  <c r="AG144" i="1"/>
  <c r="AH144" i="1"/>
  <c r="AJ144" i="1"/>
  <c r="AK144" i="1"/>
  <c r="AL144" i="1"/>
  <c r="AO144" i="1"/>
  <c r="AP144" i="1"/>
  <c r="AX144" i="1"/>
  <c r="BD144" i="1"/>
  <c r="BF144" i="1"/>
  <c r="BI144" i="1"/>
  <c r="AE144" i="1" s="1"/>
  <c r="BJ144" i="1"/>
  <c r="J147" i="1"/>
  <c r="J146" i="1" s="1"/>
  <c r="K147" i="1"/>
  <c r="Z147" i="1"/>
  <c r="AB147" i="1"/>
  <c r="AC147" i="1"/>
  <c r="AF147" i="1"/>
  <c r="AG147" i="1"/>
  <c r="AH147" i="1"/>
  <c r="AJ147" i="1"/>
  <c r="AS146" i="1" s="1"/>
  <c r="AL147" i="1"/>
  <c r="AU146" i="1" s="1"/>
  <c r="AO147" i="1"/>
  <c r="AP147" i="1"/>
  <c r="AX147" i="1" s="1"/>
  <c r="BD147" i="1"/>
  <c r="BF147" i="1"/>
  <c r="BI147" i="1"/>
  <c r="AE147" i="1" s="1"/>
  <c r="BJ147" i="1"/>
  <c r="I149" i="1"/>
  <c r="J149" i="1"/>
  <c r="K149" i="1"/>
  <c r="Z149" i="1"/>
  <c r="AB149" i="1"/>
  <c r="AC149" i="1"/>
  <c r="AF149" i="1"/>
  <c r="AG149" i="1"/>
  <c r="AH149" i="1"/>
  <c r="AJ149" i="1"/>
  <c r="AK149" i="1"/>
  <c r="AL149" i="1"/>
  <c r="AO149" i="1"/>
  <c r="AP149" i="1"/>
  <c r="AV149" i="1"/>
  <c r="AW149" i="1"/>
  <c r="BC149" i="1" s="1"/>
  <c r="AX149" i="1"/>
  <c r="BD149" i="1"/>
  <c r="BF149" i="1"/>
  <c r="BH149" i="1"/>
  <c r="AD149" i="1" s="1"/>
  <c r="BI149" i="1"/>
  <c r="AE149" i="1" s="1"/>
  <c r="BJ149" i="1"/>
  <c r="I151" i="1"/>
  <c r="AU151" i="1"/>
  <c r="J152" i="1"/>
  <c r="J151" i="1" s="1"/>
  <c r="K152" i="1"/>
  <c r="Z152" i="1"/>
  <c r="AB152" i="1"/>
  <c r="AC152" i="1"/>
  <c r="AE152" i="1"/>
  <c r="AF152" i="1"/>
  <c r="AG152" i="1"/>
  <c r="AH152" i="1"/>
  <c r="AJ152" i="1"/>
  <c r="AS151" i="1" s="1"/>
  <c r="AL152" i="1"/>
  <c r="AO152" i="1"/>
  <c r="I152" i="1" s="1"/>
  <c r="AP152" i="1"/>
  <c r="AW152" i="1"/>
  <c r="AX152" i="1"/>
  <c r="BD152" i="1"/>
  <c r="BF152" i="1"/>
  <c r="BI152" i="1"/>
  <c r="BJ152" i="1"/>
  <c r="K155" i="1"/>
  <c r="Z155" i="1"/>
  <c r="AB155" i="1"/>
  <c r="AC155" i="1"/>
  <c r="AF155" i="1"/>
  <c r="AG155" i="1"/>
  <c r="AH155" i="1"/>
  <c r="AJ155" i="1"/>
  <c r="AK155" i="1"/>
  <c r="AL155" i="1"/>
  <c r="AO155" i="1"/>
  <c r="I155" i="1" s="1"/>
  <c r="AP155" i="1"/>
  <c r="J155" i="1" s="1"/>
  <c r="AX155" i="1"/>
  <c r="BD155" i="1"/>
  <c r="BF155" i="1"/>
  <c r="BI155" i="1"/>
  <c r="AE155" i="1" s="1"/>
  <c r="BJ155" i="1"/>
  <c r="K158" i="1"/>
  <c r="Z158" i="1"/>
  <c r="AB158" i="1"/>
  <c r="AC158" i="1"/>
  <c r="AF158" i="1"/>
  <c r="AG158" i="1"/>
  <c r="AH158" i="1"/>
  <c r="AJ158" i="1"/>
  <c r="AL158" i="1"/>
  <c r="AO158" i="1"/>
  <c r="AP158" i="1"/>
  <c r="BI158" i="1" s="1"/>
  <c r="AE158" i="1" s="1"/>
  <c r="AW158" i="1"/>
  <c r="BD158" i="1"/>
  <c r="BF158" i="1"/>
  <c r="BJ158" i="1"/>
  <c r="I160" i="1"/>
  <c r="K160" i="1"/>
  <c r="Z160" i="1"/>
  <c r="AB160" i="1"/>
  <c r="AC160" i="1"/>
  <c r="AD160" i="1"/>
  <c r="AF160" i="1"/>
  <c r="AG160" i="1"/>
  <c r="AH160" i="1"/>
  <c r="AJ160" i="1"/>
  <c r="AK160" i="1"/>
  <c r="AL160" i="1"/>
  <c r="AO160" i="1"/>
  <c r="AP160" i="1"/>
  <c r="AW160" i="1"/>
  <c r="BD160" i="1"/>
  <c r="BF160" i="1"/>
  <c r="BH160" i="1"/>
  <c r="BJ160" i="1"/>
  <c r="I162" i="1"/>
  <c r="K162" i="1"/>
  <c r="Z162" i="1"/>
  <c r="AB162" i="1"/>
  <c r="AC162" i="1"/>
  <c r="AF162" i="1"/>
  <c r="AG162" i="1"/>
  <c r="AH162" i="1"/>
  <c r="AJ162" i="1"/>
  <c r="AK162" i="1"/>
  <c r="AL162" i="1"/>
  <c r="AO162" i="1"/>
  <c r="AW162" i="1" s="1"/>
  <c r="AP162" i="1"/>
  <c r="J162" i="1" s="1"/>
  <c r="AX162" i="1"/>
  <c r="BC162" i="1" s="1"/>
  <c r="BD162" i="1"/>
  <c r="BF162" i="1"/>
  <c r="BH162" i="1"/>
  <c r="AD162" i="1" s="1"/>
  <c r="BJ162" i="1"/>
  <c r="K164" i="1"/>
  <c r="AK164" i="1" s="1"/>
  <c r="Z164" i="1"/>
  <c r="AB164" i="1"/>
  <c r="AC164" i="1"/>
  <c r="AF164" i="1"/>
  <c r="AG164" i="1"/>
  <c r="AH164" i="1"/>
  <c r="AJ164" i="1"/>
  <c r="AL164" i="1"/>
  <c r="AO164" i="1"/>
  <c r="AP164" i="1"/>
  <c r="AX164" i="1" s="1"/>
  <c r="BD164" i="1"/>
  <c r="BF164" i="1"/>
  <c r="BI164" i="1"/>
  <c r="AE164" i="1" s="1"/>
  <c r="BJ164" i="1"/>
  <c r="J166" i="1"/>
  <c r="K166" i="1"/>
  <c r="AK166" i="1" s="1"/>
  <c r="Z166" i="1"/>
  <c r="AB166" i="1"/>
  <c r="AC166" i="1"/>
  <c r="AF166" i="1"/>
  <c r="AG166" i="1"/>
  <c r="AH166" i="1"/>
  <c r="AJ166" i="1"/>
  <c r="AL166" i="1"/>
  <c r="AO166" i="1"/>
  <c r="I166" i="1" s="1"/>
  <c r="AP166" i="1"/>
  <c r="AX166" i="1"/>
  <c r="BD166" i="1"/>
  <c r="BF166" i="1"/>
  <c r="BI166" i="1"/>
  <c r="AE166" i="1" s="1"/>
  <c r="BJ166" i="1"/>
  <c r="I168" i="1"/>
  <c r="K168" i="1"/>
  <c r="Z168" i="1"/>
  <c r="AB168" i="1"/>
  <c r="AC168" i="1"/>
  <c r="AF168" i="1"/>
  <c r="AG168" i="1"/>
  <c r="AH168" i="1"/>
  <c r="AJ168" i="1"/>
  <c r="AK168" i="1"/>
  <c r="AL168" i="1"/>
  <c r="AO168" i="1"/>
  <c r="AP168" i="1"/>
  <c r="AW168" i="1"/>
  <c r="BD168" i="1"/>
  <c r="BF168" i="1"/>
  <c r="BH168" i="1"/>
  <c r="AD168" i="1" s="1"/>
  <c r="BJ168" i="1"/>
  <c r="K170" i="1"/>
  <c r="AK170" i="1" s="1"/>
  <c r="Z170" i="1"/>
  <c r="AB170" i="1"/>
  <c r="AC170" i="1"/>
  <c r="AF170" i="1"/>
  <c r="AG170" i="1"/>
  <c r="AH170" i="1"/>
  <c r="AJ170" i="1"/>
  <c r="AL170" i="1"/>
  <c r="AO170" i="1"/>
  <c r="AW170" i="1" s="1"/>
  <c r="AP170" i="1"/>
  <c r="J170" i="1" s="1"/>
  <c r="AV170" i="1"/>
  <c r="AX170" i="1"/>
  <c r="BC170" i="1"/>
  <c r="BD170" i="1"/>
  <c r="BF170" i="1"/>
  <c r="BI170" i="1"/>
  <c r="AE170" i="1" s="1"/>
  <c r="BJ170" i="1"/>
  <c r="J172" i="1"/>
  <c r="K172" i="1"/>
  <c r="AK172" i="1" s="1"/>
  <c r="Z172" i="1"/>
  <c r="AB172" i="1"/>
  <c r="AC172" i="1"/>
  <c r="AF172" i="1"/>
  <c r="AG172" i="1"/>
  <c r="AH172" i="1"/>
  <c r="AJ172" i="1"/>
  <c r="AL172" i="1"/>
  <c r="AO172" i="1"/>
  <c r="AP172" i="1"/>
  <c r="AX172" i="1" s="1"/>
  <c r="BD172" i="1"/>
  <c r="BF172" i="1"/>
  <c r="BI172" i="1"/>
  <c r="AE172" i="1" s="1"/>
  <c r="BJ172" i="1"/>
  <c r="I175" i="1"/>
  <c r="J175" i="1"/>
  <c r="K175" i="1"/>
  <c r="Z175" i="1"/>
  <c r="AB175" i="1"/>
  <c r="AC175" i="1"/>
  <c r="AF175" i="1"/>
  <c r="AG175" i="1"/>
  <c r="AH175" i="1"/>
  <c r="AJ175" i="1"/>
  <c r="AK175" i="1"/>
  <c r="AL175" i="1"/>
  <c r="AU154" i="1" s="1"/>
  <c r="AO175" i="1"/>
  <c r="AP175" i="1"/>
  <c r="AW175" i="1"/>
  <c r="BC175" i="1" s="1"/>
  <c r="AX175" i="1"/>
  <c r="BD175" i="1"/>
  <c r="BF175" i="1"/>
  <c r="BH175" i="1"/>
  <c r="AD175" i="1" s="1"/>
  <c r="BI175" i="1"/>
  <c r="AE175" i="1" s="1"/>
  <c r="BJ175" i="1"/>
  <c r="I178" i="1"/>
  <c r="J178" i="1"/>
  <c r="K178" i="1"/>
  <c r="Z178" i="1"/>
  <c r="AB178" i="1"/>
  <c r="AC178" i="1"/>
  <c r="AF178" i="1"/>
  <c r="AG178" i="1"/>
  <c r="AH178" i="1"/>
  <c r="AJ178" i="1"/>
  <c r="AK178" i="1"/>
  <c r="AL178" i="1"/>
  <c r="AO178" i="1"/>
  <c r="AP178" i="1"/>
  <c r="AX178" i="1" s="1"/>
  <c r="AW178" i="1"/>
  <c r="AV178" i="1" s="1"/>
  <c r="BC178" i="1"/>
  <c r="BD178" i="1"/>
  <c r="BF178" i="1"/>
  <c r="BH178" i="1"/>
  <c r="AD178" i="1" s="1"/>
  <c r="BI178" i="1"/>
  <c r="AE178" i="1" s="1"/>
  <c r="BJ178" i="1"/>
  <c r="K182" i="1"/>
  <c r="AK182" i="1" s="1"/>
  <c r="Z182" i="1"/>
  <c r="AB182" i="1"/>
  <c r="AC182" i="1"/>
  <c r="AE182" i="1"/>
  <c r="AF182" i="1"/>
  <c r="AG182" i="1"/>
  <c r="AH182" i="1"/>
  <c r="AJ182" i="1"/>
  <c r="AL182" i="1"/>
  <c r="AO182" i="1"/>
  <c r="AW182" i="1" s="1"/>
  <c r="AP182" i="1"/>
  <c r="J182" i="1" s="1"/>
  <c r="AX182" i="1"/>
  <c r="BC182" i="1" s="1"/>
  <c r="BD182" i="1"/>
  <c r="BF182" i="1"/>
  <c r="BH182" i="1"/>
  <c r="AD182" i="1" s="1"/>
  <c r="BI182" i="1"/>
  <c r="BJ182" i="1"/>
  <c r="K184" i="1"/>
  <c r="AK184" i="1" s="1"/>
  <c r="Z184" i="1"/>
  <c r="AB184" i="1"/>
  <c r="AC184" i="1"/>
  <c r="AF184" i="1"/>
  <c r="AG184" i="1"/>
  <c r="AH184" i="1"/>
  <c r="AJ184" i="1"/>
  <c r="AL184" i="1"/>
  <c r="AO184" i="1"/>
  <c r="I184" i="1" s="1"/>
  <c r="AP184" i="1"/>
  <c r="AW184" i="1"/>
  <c r="AX184" i="1"/>
  <c r="BD184" i="1"/>
  <c r="BF184" i="1"/>
  <c r="BH184" i="1"/>
  <c r="AD184" i="1" s="1"/>
  <c r="BJ184" i="1"/>
  <c r="J186" i="1"/>
  <c r="K186" i="1"/>
  <c r="Z186" i="1"/>
  <c r="AB186" i="1"/>
  <c r="AC186" i="1"/>
  <c r="AF186" i="1"/>
  <c r="AG186" i="1"/>
  <c r="AH186" i="1"/>
  <c r="AJ186" i="1"/>
  <c r="AK186" i="1"/>
  <c r="AL186" i="1"/>
  <c r="AO186" i="1"/>
  <c r="I186" i="1" s="1"/>
  <c r="AP186" i="1"/>
  <c r="AW186" i="1"/>
  <c r="BC186" i="1" s="1"/>
  <c r="AX186" i="1"/>
  <c r="BD186" i="1"/>
  <c r="BF186" i="1"/>
  <c r="BH186" i="1"/>
  <c r="AD186" i="1" s="1"/>
  <c r="BI186" i="1"/>
  <c r="AE186" i="1" s="1"/>
  <c r="BJ186" i="1"/>
  <c r="I190" i="1"/>
  <c r="J190" i="1"/>
  <c r="K190" i="1"/>
  <c r="Z190" i="1"/>
  <c r="AB190" i="1"/>
  <c r="AC190" i="1"/>
  <c r="AF190" i="1"/>
  <c r="AG190" i="1"/>
  <c r="AH190" i="1"/>
  <c r="AJ190" i="1"/>
  <c r="AK190" i="1"/>
  <c r="AL190" i="1"/>
  <c r="AO190" i="1"/>
  <c r="AP190" i="1"/>
  <c r="AX190" i="1" s="1"/>
  <c r="AW190" i="1"/>
  <c r="AV190" i="1" s="1"/>
  <c r="BC190" i="1"/>
  <c r="BD190" i="1"/>
  <c r="BF190" i="1"/>
  <c r="BH190" i="1"/>
  <c r="AD190" i="1" s="1"/>
  <c r="BI190" i="1"/>
  <c r="AE190" i="1" s="1"/>
  <c r="BJ190" i="1"/>
  <c r="K192" i="1"/>
  <c r="Z192" i="1"/>
  <c r="AB192" i="1"/>
  <c r="AC192" i="1"/>
  <c r="AF192" i="1"/>
  <c r="AG192" i="1"/>
  <c r="AH192" i="1"/>
  <c r="AJ192" i="1"/>
  <c r="AK192" i="1"/>
  <c r="AL192" i="1"/>
  <c r="AO192" i="1"/>
  <c r="AP192" i="1"/>
  <c r="J192" i="1" s="1"/>
  <c r="AX192" i="1"/>
  <c r="BD192" i="1"/>
  <c r="BF192" i="1"/>
  <c r="BH192" i="1"/>
  <c r="AD192" i="1" s="1"/>
  <c r="BJ192" i="1"/>
  <c r="K194" i="1"/>
  <c r="AK194" i="1" s="1"/>
  <c r="Z194" i="1"/>
  <c r="AB194" i="1"/>
  <c r="AC194" i="1"/>
  <c r="AF194" i="1"/>
  <c r="AG194" i="1"/>
  <c r="AH194" i="1"/>
  <c r="AJ194" i="1"/>
  <c r="AL194" i="1"/>
  <c r="AO194" i="1"/>
  <c r="AP194" i="1"/>
  <c r="AX194" i="1" s="1"/>
  <c r="BD194" i="1"/>
  <c r="BF194" i="1"/>
  <c r="BI194" i="1"/>
  <c r="AE194" i="1" s="1"/>
  <c r="BJ194" i="1"/>
  <c r="K196" i="1"/>
  <c r="K197" i="1"/>
  <c r="AK197" i="1" s="1"/>
  <c r="Z197" i="1"/>
  <c r="AB197" i="1"/>
  <c r="AC197" i="1"/>
  <c r="AF197" i="1"/>
  <c r="AG197" i="1"/>
  <c r="AH197" i="1"/>
  <c r="AJ197" i="1"/>
  <c r="AL197" i="1"/>
  <c r="AO197" i="1"/>
  <c r="AP197" i="1"/>
  <c r="BD197" i="1"/>
  <c r="BF197" i="1"/>
  <c r="BI197" i="1"/>
  <c r="AE197" i="1" s="1"/>
  <c r="BJ197" i="1"/>
  <c r="K201" i="1"/>
  <c r="AK201" i="1" s="1"/>
  <c r="Z201" i="1"/>
  <c r="AB201" i="1"/>
  <c r="AC201" i="1"/>
  <c r="AF201" i="1"/>
  <c r="AG201" i="1"/>
  <c r="AH201" i="1"/>
  <c r="AJ201" i="1"/>
  <c r="AL201" i="1"/>
  <c r="AO201" i="1"/>
  <c r="I201" i="1" s="1"/>
  <c r="AP201" i="1"/>
  <c r="J201" i="1" s="1"/>
  <c r="AW201" i="1"/>
  <c r="AX201" i="1"/>
  <c r="BD201" i="1"/>
  <c r="BF201" i="1"/>
  <c r="BH201" i="1"/>
  <c r="AD201" i="1" s="1"/>
  <c r="BJ201" i="1"/>
  <c r="J203" i="1"/>
  <c r="K203" i="1"/>
  <c r="Z203" i="1"/>
  <c r="AB203" i="1"/>
  <c r="AC203" i="1"/>
  <c r="AF203" i="1"/>
  <c r="AG203" i="1"/>
  <c r="AH203" i="1"/>
  <c r="AJ203" i="1"/>
  <c r="AK203" i="1"/>
  <c r="AL203" i="1"/>
  <c r="AO203" i="1"/>
  <c r="I203" i="1" s="1"/>
  <c r="AP203" i="1"/>
  <c r="AW203" i="1"/>
  <c r="AX203" i="1"/>
  <c r="BD203" i="1"/>
  <c r="BF203" i="1"/>
  <c r="BH203" i="1"/>
  <c r="AD203" i="1" s="1"/>
  <c r="BI203" i="1"/>
  <c r="AE203" i="1" s="1"/>
  <c r="BJ203" i="1"/>
  <c r="I206" i="1"/>
  <c r="K206" i="1"/>
  <c r="Z206" i="1"/>
  <c r="AB206" i="1"/>
  <c r="AC206" i="1"/>
  <c r="AF206" i="1"/>
  <c r="AG206" i="1"/>
  <c r="AH206" i="1"/>
  <c r="AJ206" i="1"/>
  <c r="AK206" i="1"/>
  <c r="AL206" i="1"/>
  <c r="AO206" i="1"/>
  <c r="AP206" i="1"/>
  <c r="AX206" i="1" s="1"/>
  <c r="BC206" i="1" s="1"/>
  <c r="AW206" i="1"/>
  <c r="BD206" i="1"/>
  <c r="BF206" i="1"/>
  <c r="BH206" i="1"/>
  <c r="AD206" i="1" s="1"/>
  <c r="BJ206" i="1"/>
  <c r="K208" i="1"/>
  <c r="Z208" i="1"/>
  <c r="AB208" i="1"/>
  <c r="AC208" i="1"/>
  <c r="AF208" i="1"/>
  <c r="AG208" i="1"/>
  <c r="AH208" i="1"/>
  <c r="AJ208" i="1"/>
  <c r="AK208" i="1"/>
  <c r="AL208" i="1"/>
  <c r="AO208" i="1"/>
  <c r="AW208" i="1" s="1"/>
  <c r="AP208" i="1"/>
  <c r="BD208" i="1"/>
  <c r="BF208" i="1"/>
  <c r="BJ208" i="1"/>
  <c r="J210" i="1"/>
  <c r="K210" i="1"/>
  <c r="AK210" i="1" s="1"/>
  <c r="Z210" i="1"/>
  <c r="AB210" i="1"/>
  <c r="AC210" i="1"/>
  <c r="AF210" i="1"/>
  <c r="AG210" i="1"/>
  <c r="AH210" i="1"/>
  <c r="AJ210" i="1"/>
  <c r="AL210" i="1"/>
  <c r="AO210" i="1"/>
  <c r="AP210" i="1"/>
  <c r="AX210" i="1"/>
  <c r="BD210" i="1"/>
  <c r="BF210" i="1"/>
  <c r="BI210" i="1"/>
  <c r="AE210" i="1" s="1"/>
  <c r="BJ210" i="1"/>
  <c r="J212" i="1"/>
  <c r="K212" i="1"/>
  <c r="AK212" i="1" s="1"/>
  <c r="Z212" i="1"/>
  <c r="AB212" i="1"/>
  <c r="AC212" i="1"/>
  <c r="AF212" i="1"/>
  <c r="AG212" i="1"/>
  <c r="AH212" i="1"/>
  <c r="AJ212" i="1"/>
  <c r="AL212" i="1"/>
  <c r="AO212" i="1"/>
  <c r="AP212" i="1"/>
  <c r="AX212" i="1"/>
  <c r="BD212" i="1"/>
  <c r="BF212" i="1"/>
  <c r="BI212" i="1"/>
  <c r="AE212" i="1" s="1"/>
  <c r="BJ212" i="1"/>
  <c r="I214" i="1"/>
  <c r="K214" i="1"/>
  <c r="Z214" i="1"/>
  <c r="AB214" i="1"/>
  <c r="AC214" i="1"/>
  <c r="AF214" i="1"/>
  <c r="AG214" i="1"/>
  <c r="AH214" i="1"/>
  <c r="AJ214" i="1"/>
  <c r="AK214" i="1"/>
  <c r="AT196" i="1" s="1"/>
  <c r="AL214" i="1"/>
  <c r="AO214" i="1"/>
  <c r="AP214" i="1"/>
  <c r="AW214" i="1"/>
  <c r="BD214" i="1"/>
  <c r="BF214" i="1"/>
  <c r="BH214" i="1"/>
  <c r="AD214" i="1" s="1"/>
  <c r="BJ214" i="1"/>
  <c r="I216" i="1"/>
  <c r="K216" i="1"/>
  <c r="Z216" i="1"/>
  <c r="AB216" i="1"/>
  <c r="AC216" i="1"/>
  <c r="AF216" i="1"/>
  <c r="AG216" i="1"/>
  <c r="AH216" i="1"/>
  <c r="AJ216" i="1"/>
  <c r="AK216" i="1"/>
  <c r="AL216" i="1"/>
  <c r="AO216" i="1"/>
  <c r="AW216" i="1" s="1"/>
  <c r="AP216" i="1"/>
  <c r="J216" i="1" s="1"/>
  <c r="AX216" i="1"/>
  <c r="BC216" i="1" s="1"/>
  <c r="BD216" i="1"/>
  <c r="BF216" i="1"/>
  <c r="BH216" i="1"/>
  <c r="AD216" i="1" s="1"/>
  <c r="BJ216" i="1"/>
  <c r="K218" i="1"/>
  <c r="AK218" i="1" s="1"/>
  <c r="Z218" i="1"/>
  <c r="AB218" i="1"/>
  <c r="AC218" i="1"/>
  <c r="AF218" i="1"/>
  <c r="AG218" i="1"/>
  <c r="AH218" i="1"/>
  <c r="AJ218" i="1"/>
  <c r="AL218" i="1"/>
  <c r="AO218" i="1"/>
  <c r="AP218" i="1"/>
  <c r="AX218" i="1" s="1"/>
  <c r="BD218" i="1"/>
  <c r="BF218" i="1"/>
  <c r="BI218" i="1"/>
  <c r="AE218" i="1" s="1"/>
  <c r="BJ218" i="1"/>
  <c r="K220" i="1"/>
  <c r="AT220" i="1"/>
  <c r="K221" i="1"/>
  <c r="AK221" i="1" s="1"/>
  <c r="Z221" i="1"/>
  <c r="AB221" i="1"/>
  <c r="AC221" i="1"/>
  <c r="AF221" i="1"/>
  <c r="AG221" i="1"/>
  <c r="AH221" i="1"/>
  <c r="AJ221" i="1"/>
  <c r="AL221" i="1"/>
  <c r="AO221" i="1"/>
  <c r="AP221" i="1"/>
  <c r="BD221" i="1"/>
  <c r="BF221" i="1"/>
  <c r="BI221" i="1"/>
  <c r="AE221" i="1" s="1"/>
  <c r="BJ221" i="1"/>
  <c r="K223" i="1"/>
  <c r="AK223" i="1" s="1"/>
  <c r="Z223" i="1"/>
  <c r="AB223" i="1"/>
  <c r="AC223" i="1"/>
  <c r="AF223" i="1"/>
  <c r="AG223" i="1"/>
  <c r="AH223" i="1"/>
  <c r="AJ223" i="1"/>
  <c r="AL223" i="1"/>
  <c r="AO223" i="1"/>
  <c r="I223" i="1" s="1"/>
  <c r="AP223" i="1"/>
  <c r="J223" i="1" s="1"/>
  <c r="AW223" i="1"/>
  <c r="AX223" i="1"/>
  <c r="BD223" i="1"/>
  <c r="BF223" i="1"/>
  <c r="BH223" i="1"/>
  <c r="AD223" i="1" s="1"/>
  <c r="BJ223" i="1"/>
  <c r="J225" i="1"/>
  <c r="K225" i="1"/>
  <c r="Z225" i="1"/>
  <c r="AB225" i="1"/>
  <c r="AC225" i="1"/>
  <c r="AF225" i="1"/>
  <c r="AG225" i="1"/>
  <c r="AH225" i="1"/>
  <c r="AJ225" i="1"/>
  <c r="AK225" i="1"/>
  <c r="AL225" i="1"/>
  <c r="AO225" i="1"/>
  <c r="I225" i="1" s="1"/>
  <c r="AP225" i="1"/>
  <c r="AW225" i="1"/>
  <c r="AX225" i="1"/>
  <c r="BD225" i="1"/>
  <c r="BF225" i="1"/>
  <c r="BH225" i="1"/>
  <c r="AD225" i="1" s="1"/>
  <c r="BI225" i="1"/>
  <c r="AE225" i="1" s="1"/>
  <c r="BJ225" i="1"/>
  <c r="I227" i="1"/>
  <c r="K227" i="1"/>
  <c r="Z227" i="1"/>
  <c r="AB227" i="1"/>
  <c r="AC227" i="1"/>
  <c r="AF227" i="1"/>
  <c r="AG227" i="1"/>
  <c r="AH227" i="1"/>
  <c r="AJ227" i="1"/>
  <c r="AK227" i="1"/>
  <c r="AL227" i="1"/>
  <c r="AO227" i="1"/>
  <c r="AP227" i="1"/>
  <c r="AX227" i="1" s="1"/>
  <c r="BC227" i="1" s="1"/>
  <c r="AW227" i="1"/>
  <c r="BD227" i="1"/>
  <c r="BF227" i="1"/>
  <c r="BH227" i="1"/>
  <c r="AD227" i="1" s="1"/>
  <c r="BJ227" i="1"/>
  <c r="AS229" i="1"/>
  <c r="J230" i="1"/>
  <c r="J229" i="1" s="1"/>
  <c r="K230" i="1"/>
  <c r="K229" i="1" s="1"/>
  <c r="Z230" i="1"/>
  <c r="AB230" i="1"/>
  <c r="AC230" i="1"/>
  <c r="AF230" i="1"/>
  <c r="AG230" i="1"/>
  <c r="AH230" i="1"/>
  <c r="AJ230" i="1"/>
  <c r="AK230" i="1"/>
  <c r="AT229" i="1" s="1"/>
  <c r="AL230" i="1"/>
  <c r="AU229" i="1" s="1"/>
  <c r="AO230" i="1"/>
  <c r="I230" i="1" s="1"/>
  <c r="I229" i="1" s="1"/>
  <c r="AP230" i="1"/>
  <c r="AX230" i="1"/>
  <c r="BD230" i="1"/>
  <c r="BF230" i="1"/>
  <c r="BI230" i="1"/>
  <c r="AE230" i="1" s="1"/>
  <c r="BJ230" i="1"/>
  <c r="AU233" i="1"/>
  <c r="K234" i="1"/>
  <c r="Z234" i="1"/>
  <c r="AC234" i="1"/>
  <c r="AD234" i="1"/>
  <c r="AE234" i="1"/>
  <c r="AF234" i="1"/>
  <c r="AG234" i="1"/>
  <c r="AH234" i="1"/>
  <c r="AJ234" i="1"/>
  <c r="AS233" i="1" s="1"/>
  <c r="AL234" i="1"/>
  <c r="AO234" i="1"/>
  <c r="AP234" i="1"/>
  <c r="J234" i="1" s="1"/>
  <c r="J233" i="1" s="1"/>
  <c r="AX234" i="1"/>
  <c r="BD234" i="1"/>
  <c r="BF234" i="1"/>
  <c r="BI234" i="1"/>
  <c r="BJ234" i="1"/>
  <c r="J236" i="1"/>
  <c r="K236" i="1"/>
  <c r="AK236" i="1" s="1"/>
  <c r="Z236" i="1"/>
  <c r="AC236" i="1"/>
  <c r="AD236" i="1"/>
  <c r="AE236" i="1"/>
  <c r="AF236" i="1"/>
  <c r="AG236" i="1"/>
  <c r="AH236" i="1"/>
  <c r="AJ236" i="1"/>
  <c r="AL236" i="1"/>
  <c r="AO236" i="1"/>
  <c r="I236" i="1" s="1"/>
  <c r="AP236" i="1"/>
  <c r="AX236" i="1"/>
  <c r="BD236" i="1"/>
  <c r="BF236" i="1"/>
  <c r="BI236" i="1"/>
  <c r="BJ236" i="1"/>
  <c r="K241" i="1"/>
  <c r="Z241" i="1"/>
  <c r="AD241" i="1"/>
  <c r="AE241" i="1"/>
  <c r="AF241" i="1"/>
  <c r="AG241" i="1"/>
  <c r="AH241" i="1"/>
  <c r="AJ241" i="1"/>
  <c r="AL241" i="1"/>
  <c r="AO241" i="1"/>
  <c r="I241" i="1" s="1"/>
  <c r="AP241" i="1"/>
  <c r="J241" i="1" s="1"/>
  <c r="J240" i="1" s="1"/>
  <c r="AW241" i="1"/>
  <c r="BD241" i="1"/>
  <c r="BF241" i="1"/>
  <c r="BJ241" i="1"/>
  <c r="I243" i="1"/>
  <c r="J243" i="1"/>
  <c r="K243" i="1"/>
  <c r="Z243" i="1"/>
  <c r="AC243" i="1"/>
  <c r="AD243" i="1"/>
  <c r="AE243" i="1"/>
  <c r="AF243" i="1"/>
  <c r="AG243" i="1"/>
  <c r="AH243" i="1"/>
  <c r="AJ243" i="1"/>
  <c r="AK243" i="1"/>
  <c r="AL243" i="1"/>
  <c r="AO243" i="1"/>
  <c r="AP243" i="1"/>
  <c r="AW243" i="1"/>
  <c r="BC243" i="1" s="1"/>
  <c r="AX243" i="1"/>
  <c r="BD243" i="1"/>
  <c r="BF243" i="1"/>
  <c r="BH243" i="1"/>
  <c r="AB243" i="1" s="1"/>
  <c r="BI243" i="1"/>
  <c r="BJ243" i="1"/>
  <c r="I245" i="1"/>
  <c r="J245" i="1"/>
  <c r="K245" i="1"/>
  <c r="Z245" i="1"/>
  <c r="AB245" i="1"/>
  <c r="AD245" i="1"/>
  <c r="AE245" i="1"/>
  <c r="AF245" i="1"/>
  <c r="AG245" i="1"/>
  <c r="AH245" i="1"/>
  <c r="AJ245" i="1"/>
  <c r="AS240" i="1" s="1"/>
  <c r="AK245" i="1"/>
  <c r="AL245" i="1"/>
  <c r="AO245" i="1"/>
  <c r="AP245" i="1"/>
  <c r="AW245" i="1"/>
  <c r="BD245" i="1"/>
  <c r="BF245" i="1"/>
  <c r="BH245" i="1"/>
  <c r="BJ245" i="1"/>
  <c r="I247" i="1"/>
  <c r="K247" i="1"/>
  <c r="AK247" i="1" s="1"/>
  <c r="Z247" i="1"/>
  <c r="AD247" i="1"/>
  <c r="AE247" i="1"/>
  <c r="AF247" i="1"/>
  <c r="AG247" i="1"/>
  <c r="AH247" i="1"/>
  <c r="AJ247" i="1"/>
  <c r="AL247" i="1"/>
  <c r="AO247" i="1"/>
  <c r="AW247" i="1" s="1"/>
  <c r="AP247" i="1"/>
  <c r="J247" i="1" s="1"/>
  <c r="BD247" i="1"/>
  <c r="BF247" i="1"/>
  <c r="BJ247" i="1"/>
  <c r="K249" i="1"/>
  <c r="AK249" i="1" s="1"/>
  <c r="Z249" i="1"/>
  <c r="AD249" i="1"/>
  <c r="AE249" i="1"/>
  <c r="AF249" i="1"/>
  <c r="AG249" i="1"/>
  <c r="AH249" i="1"/>
  <c r="AJ249" i="1"/>
  <c r="AL249" i="1"/>
  <c r="AO249" i="1"/>
  <c r="I249" i="1" s="1"/>
  <c r="AP249" i="1"/>
  <c r="J249" i="1" s="1"/>
  <c r="AW249" i="1"/>
  <c r="AV249" i="1" s="1"/>
  <c r="AX249" i="1"/>
  <c r="BD249" i="1"/>
  <c r="BF249" i="1"/>
  <c r="BH249" i="1"/>
  <c r="AB249" i="1" s="1"/>
  <c r="BI249" i="1"/>
  <c r="AC249" i="1" s="1"/>
  <c r="BJ249" i="1"/>
  <c r="I251" i="1"/>
  <c r="J251" i="1"/>
  <c r="K251" i="1"/>
  <c r="Z251" i="1"/>
  <c r="AB251" i="1"/>
  <c r="AC251" i="1"/>
  <c r="AD251" i="1"/>
  <c r="AE251" i="1"/>
  <c r="AF251" i="1"/>
  <c r="AG251" i="1"/>
  <c r="AH251" i="1"/>
  <c r="AJ251" i="1"/>
  <c r="AK251" i="1"/>
  <c r="AL251" i="1"/>
  <c r="AO251" i="1"/>
  <c r="AP251" i="1"/>
  <c r="AV251" i="1"/>
  <c r="AW251" i="1"/>
  <c r="BC251" i="1" s="1"/>
  <c r="AX251" i="1"/>
  <c r="BD251" i="1"/>
  <c r="BF251" i="1"/>
  <c r="BH251" i="1"/>
  <c r="BI251" i="1"/>
  <c r="BJ251" i="1"/>
  <c r="AU253" i="1"/>
  <c r="K254" i="1"/>
  <c r="Z254" i="1"/>
  <c r="AD254" i="1"/>
  <c r="AE254" i="1"/>
  <c r="AF254" i="1"/>
  <c r="AG254" i="1"/>
  <c r="AH254" i="1"/>
  <c r="AJ254" i="1"/>
  <c r="AS253" i="1" s="1"/>
  <c r="AL254" i="1"/>
  <c r="AO254" i="1"/>
  <c r="AP254" i="1"/>
  <c r="AX254" i="1" s="1"/>
  <c r="BD254" i="1"/>
  <c r="BF254" i="1"/>
  <c r="BJ254" i="1"/>
  <c r="I256" i="1"/>
  <c r="J256" i="1"/>
  <c r="K256" i="1"/>
  <c r="Z256" i="1"/>
  <c r="AC256" i="1"/>
  <c r="AD256" i="1"/>
  <c r="AE256" i="1"/>
  <c r="AF256" i="1"/>
  <c r="AG256" i="1"/>
  <c r="AH256" i="1"/>
  <c r="AJ256" i="1"/>
  <c r="AK256" i="1"/>
  <c r="AL256" i="1"/>
  <c r="AO256" i="1"/>
  <c r="AP256" i="1"/>
  <c r="AX256" i="1"/>
  <c r="BD256" i="1"/>
  <c r="BF256" i="1"/>
  <c r="BI256" i="1"/>
  <c r="BJ256" i="1"/>
  <c r="K259" i="1"/>
  <c r="Z259" i="1"/>
  <c r="AD259" i="1"/>
  <c r="AE259" i="1"/>
  <c r="AF259" i="1"/>
  <c r="AG259" i="1"/>
  <c r="AH259" i="1"/>
  <c r="AJ259" i="1"/>
  <c r="AS258" i="1" s="1"/>
  <c r="AL259" i="1"/>
  <c r="AO259" i="1"/>
  <c r="I259" i="1" s="1"/>
  <c r="AP259" i="1"/>
  <c r="J259" i="1" s="1"/>
  <c r="AX259" i="1"/>
  <c r="BD259" i="1"/>
  <c r="BF259" i="1"/>
  <c r="BI259" i="1"/>
  <c r="AC259" i="1" s="1"/>
  <c r="BJ259" i="1"/>
  <c r="J261" i="1"/>
  <c r="K261" i="1"/>
  <c r="AK261" i="1" s="1"/>
  <c r="Z261" i="1"/>
  <c r="AC261" i="1"/>
  <c r="AD261" i="1"/>
  <c r="AE261" i="1"/>
  <c r="AF261" i="1"/>
  <c r="AG261" i="1"/>
  <c r="AH261" i="1"/>
  <c r="AJ261" i="1"/>
  <c r="AL261" i="1"/>
  <c r="AO261" i="1"/>
  <c r="I261" i="1" s="1"/>
  <c r="AP261" i="1"/>
  <c r="AX261" i="1"/>
  <c r="BD261" i="1"/>
  <c r="BF261" i="1"/>
  <c r="BI261" i="1"/>
  <c r="BJ261" i="1"/>
  <c r="I263" i="1"/>
  <c r="J263" i="1"/>
  <c r="K263" i="1"/>
  <c r="Z263" i="1"/>
  <c r="AB263" i="1"/>
  <c r="AD263" i="1"/>
  <c r="AE263" i="1"/>
  <c r="AF263" i="1"/>
  <c r="AG263" i="1"/>
  <c r="AH263" i="1"/>
  <c r="AJ263" i="1"/>
  <c r="AK263" i="1"/>
  <c r="AL263" i="1"/>
  <c r="AO263" i="1"/>
  <c r="AP263" i="1"/>
  <c r="AX263" i="1" s="1"/>
  <c r="AV263" i="1"/>
  <c r="AW263" i="1"/>
  <c r="BC263" i="1"/>
  <c r="BD263" i="1"/>
  <c r="BF263" i="1"/>
  <c r="BH263" i="1"/>
  <c r="BI263" i="1"/>
  <c r="AC263" i="1" s="1"/>
  <c r="BJ263" i="1"/>
  <c r="K267" i="1"/>
  <c r="Z267" i="1"/>
  <c r="AD267" i="1"/>
  <c r="AE267" i="1"/>
  <c r="AF267" i="1"/>
  <c r="AG267" i="1"/>
  <c r="AH267" i="1"/>
  <c r="AJ267" i="1"/>
  <c r="AK267" i="1"/>
  <c r="AL267" i="1"/>
  <c r="AO267" i="1"/>
  <c r="AP267" i="1"/>
  <c r="BI267" i="1" s="1"/>
  <c r="AC267" i="1" s="1"/>
  <c r="BD267" i="1"/>
  <c r="BF267" i="1"/>
  <c r="BJ267" i="1"/>
  <c r="K269" i="1"/>
  <c r="AK269" i="1" s="1"/>
  <c r="Z269" i="1"/>
  <c r="AD269" i="1"/>
  <c r="AE269" i="1"/>
  <c r="AF269" i="1"/>
  <c r="AG269" i="1"/>
  <c r="AH269" i="1"/>
  <c r="AJ269" i="1"/>
  <c r="AL269" i="1"/>
  <c r="AO269" i="1"/>
  <c r="AP269" i="1"/>
  <c r="AX269" i="1" s="1"/>
  <c r="BD269" i="1"/>
  <c r="BF269" i="1"/>
  <c r="BJ269" i="1"/>
  <c r="J272" i="1"/>
  <c r="K272" i="1"/>
  <c r="AK272" i="1" s="1"/>
  <c r="Z272" i="1"/>
  <c r="AC272" i="1"/>
  <c r="AD272" i="1"/>
  <c r="AE272" i="1"/>
  <c r="AF272" i="1"/>
  <c r="AG272" i="1"/>
  <c r="AH272" i="1"/>
  <c r="AJ272" i="1"/>
  <c r="AL272" i="1"/>
  <c r="AO272" i="1"/>
  <c r="I272" i="1" s="1"/>
  <c r="AP272" i="1"/>
  <c r="AX272" i="1"/>
  <c r="BD272" i="1"/>
  <c r="BF272" i="1"/>
  <c r="BI272" i="1"/>
  <c r="BJ272" i="1"/>
  <c r="I274" i="1"/>
  <c r="K274" i="1"/>
  <c r="Z274" i="1"/>
  <c r="AB274" i="1"/>
  <c r="AD274" i="1"/>
  <c r="AE274" i="1"/>
  <c r="AF274" i="1"/>
  <c r="AG274" i="1"/>
  <c r="AH274" i="1"/>
  <c r="AJ274" i="1"/>
  <c r="AK274" i="1"/>
  <c r="AL274" i="1"/>
  <c r="AO274" i="1"/>
  <c r="AP274" i="1"/>
  <c r="AX274" i="1" s="1"/>
  <c r="AW274" i="1"/>
  <c r="AV274" i="1" s="1"/>
  <c r="BD274" i="1"/>
  <c r="BF274" i="1"/>
  <c r="BH274" i="1"/>
  <c r="BJ274" i="1"/>
  <c r="K276" i="1"/>
  <c r="Z276" i="1"/>
  <c r="AD276" i="1"/>
  <c r="AE276" i="1"/>
  <c r="AF276" i="1"/>
  <c r="AG276" i="1"/>
  <c r="AH276" i="1"/>
  <c r="AJ276" i="1"/>
  <c r="AK276" i="1"/>
  <c r="AL276" i="1"/>
  <c r="AO276" i="1"/>
  <c r="AW276" i="1" s="1"/>
  <c r="AP276" i="1"/>
  <c r="BD276" i="1"/>
  <c r="BF276" i="1"/>
  <c r="BH276" i="1"/>
  <c r="AB276" i="1" s="1"/>
  <c r="BJ276" i="1"/>
  <c r="K278" i="1"/>
  <c r="AK278" i="1" s="1"/>
  <c r="Z278" i="1"/>
  <c r="AD278" i="1"/>
  <c r="AE278" i="1"/>
  <c r="AF278" i="1"/>
  <c r="AG278" i="1"/>
  <c r="AH278" i="1"/>
  <c r="AJ278" i="1"/>
  <c r="AL278" i="1"/>
  <c r="AU258" i="1" s="1"/>
  <c r="AO278" i="1"/>
  <c r="I278" i="1" s="1"/>
  <c r="AP278" i="1"/>
  <c r="J278" i="1" s="1"/>
  <c r="AW278" i="1"/>
  <c r="AX278" i="1"/>
  <c r="BD278" i="1"/>
  <c r="BF278" i="1"/>
  <c r="BH278" i="1"/>
  <c r="AB278" i="1" s="1"/>
  <c r="BI278" i="1"/>
  <c r="AC278" i="1" s="1"/>
  <c r="BJ278" i="1"/>
  <c r="J280" i="1"/>
  <c r="AU280" i="1"/>
  <c r="K281" i="1"/>
  <c r="K280" i="1" s="1"/>
  <c r="Z281" i="1"/>
  <c r="AD281" i="1"/>
  <c r="AE281" i="1"/>
  <c r="AF281" i="1"/>
  <c r="AG281" i="1"/>
  <c r="AH281" i="1"/>
  <c r="AJ281" i="1"/>
  <c r="AS280" i="1" s="1"/>
  <c r="AL281" i="1"/>
  <c r="AO281" i="1"/>
  <c r="AW281" i="1" s="1"/>
  <c r="BC281" i="1" s="1"/>
  <c r="AP281" i="1"/>
  <c r="J281" i="1" s="1"/>
  <c r="AX281" i="1"/>
  <c r="BD281" i="1"/>
  <c r="BF281" i="1"/>
  <c r="BI281" i="1"/>
  <c r="AC281" i="1" s="1"/>
  <c r="BJ281" i="1"/>
  <c r="K283" i="1"/>
  <c r="AS283" i="1"/>
  <c r="I284" i="1"/>
  <c r="I283" i="1" s="1"/>
  <c r="J284" i="1"/>
  <c r="J283" i="1" s="1"/>
  <c r="K284" i="1"/>
  <c r="AB284" i="1"/>
  <c r="AC284" i="1"/>
  <c r="AD284" i="1"/>
  <c r="AE284" i="1"/>
  <c r="AF284" i="1"/>
  <c r="AG284" i="1"/>
  <c r="AH284" i="1"/>
  <c r="AJ284" i="1"/>
  <c r="AK284" i="1"/>
  <c r="AT283" i="1" s="1"/>
  <c r="AL284" i="1"/>
  <c r="AU283" i="1" s="1"/>
  <c r="AO284" i="1"/>
  <c r="AP284" i="1"/>
  <c r="AX284" i="1" s="1"/>
  <c r="AW284" i="1"/>
  <c r="AV284" i="1" s="1"/>
  <c r="BC284" i="1"/>
  <c r="BD284" i="1"/>
  <c r="BF284" i="1"/>
  <c r="BH284" i="1"/>
  <c r="BI284" i="1"/>
  <c r="BJ284" i="1"/>
  <c r="Z284" i="1" s="1"/>
  <c r="AS286" i="1"/>
  <c r="J287" i="1"/>
  <c r="J286" i="1" s="1"/>
  <c r="K287" i="1"/>
  <c r="K286" i="1" s="1"/>
  <c r="Z287" i="1"/>
  <c r="AB287" i="1"/>
  <c r="AC287" i="1"/>
  <c r="AD287" i="1"/>
  <c r="AE287" i="1"/>
  <c r="AG287" i="1"/>
  <c r="AH287" i="1"/>
  <c r="AJ287" i="1"/>
  <c r="AL287" i="1"/>
  <c r="AU286" i="1" s="1"/>
  <c r="AO287" i="1"/>
  <c r="BH287" i="1" s="1"/>
  <c r="AF287" i="1" s="1"/>
  <c r="AP287" i="1"/>
  <c r="AX287" i="1"/>
  <c r="BD287" i="1"/>
  <c r="BF287" i="1"/>
  <c r="BI287" i="1"/>
  <c r="BJ287" i="1"/>
  <c r="AS289" i="1"/>
  <c r="K290" i="1"/>
  <c r="Z290" i="1"/>
  <c r="AB290" i="1"/>
  <c r="AC290" i="1"/>
  <c r="AD290" i="1"/>
  <c r="AE290" i="1"/>
  <c r="AF290" i="1"/>
  <c r="AG290" i="1"/>
  <c r="AH290" i="1"/>
  <c r="AJ290" i="1"/>
  <c r="AL290" i="1"/>
  <c r="AU289" i="1" s="1"/>
  <c r="AO290" i="1"/>
  <c r="I290" i="1" s="1"/>
  <c r="I289" i="1" s="1"/>
  <c r="AP290" i="1"/>
  <c r="J290" i="1" s="1"/>
  <c r="BD290" i="1"/>
  <c r="BF290" i="1"/>
  <c r="BJ290" i="1"/>
  <c r="I292" i="1"/>
  <c r="J292" i="1"/>
  <c r="K292" i="1"/>
  <c r="AB292" i="1"/>
  <c r="AC292" i="1"/>
  <c r="AD292" i="1"/>
  <c r="AE292" i="1"/>
  <c r="AF292" i="1"/>
  <c r="AG292" i="1"/>
  <c r="AH292" i="1"/>
  <c r="AJ292" i="1"/>
  <c r="AK292" i="1"/>
  <c r="AL292" i="1"/>
  <c r="AO292" i="1"/>
  <c r="AP292" i="1"/>
  <c r="AV292" i="1"/>
  <c r="AW292" i="1"/>
  <c r="BC292" i="1" s="1"/>
  <c r="AX292" i="1"/>
  <c r="BD292" i="1"/>
  <c r="BF292" i="1"/>
  <c r="BH292" i="1"/>
  <c r="BI292" i="1"/>
  <c r="BJ292" i="1"/>
  <c r="Z292" i="1" s="1"/>
  <c r="I294" i="1"/>
  <c r="K294" i="1"/>
  <c r="AB294" i="1"/>
  <c r="AC294" i="1"/>
  <c r="AD294" i="1"/>
  <c r="AE294" i="1"/>
  <c r="AF294" i="1"/>
  <c r="AG294" i="1"/>
  <c r="AH294" i="1"/>
  <c r="AJ294" i="1"/>
  <c r="AK294" i="1"/>
  <c r="AL294" i="1"/>
  <c r="AO294" i="1"/>
  <c r="AP294" i="1"/>
  <c r="AX294" i="1" s="1"/>
  <c r="AV294" i="1"/>
  <c r="AW294" i="1"/>
  <c r="BC294" i="1" s="1"/>
  <c r="BD294" i="1"/>
  <c r="BF294" i="1"/>
  <c r="BH294" i="1"/>
  <c r="BJ294" i="1"/>
  <c r="Z294" i="1" s="1"/>
  <c r="I296" i="1"/>
  <c r="K296" i="1"/>
  <c r="AB296" i="1"/>
  <c r="AC296" i="1"/>
  <c r="AD296" i="1"/>
  <c r="AE296" i="1"/>
  <c r="AF296" i="1"/>
  <c r="AG296" i="1"/>
  <c r="AH296" i="1"/>
  <c r="AJ296" i="1"/>
  <c r="AK296" i="1"/>
  <c r="AL296" i="1"/>
  <c r="AO296" i="1"/>
  <c r="AW296" i="1" s="1"/>
  <c r="AP296" i="1"/>
  <c r="J296" i="1" s="1"/>
  <c r="AX296" i="1"/>
  <c r="BC296" i="1" s="1"/>
  <c r="BD296" i="1"/>
  <c r="BF296" i="1"/>
  <c r="BH296" i="1"/>
  <c r="BI296" i="1"/>
  <c r="BJ296" i="1"/>
  <c r="Z296" i="1" s="1"/>
  <c r="K298" i="1"/>
  <c r="AK298" i="1" s="1"/>
  <c r="Z298" i="1"/>
  <c r="AB298" i="1"/>
  <c r="AC298" i="1"/>
  <c r="AD298" i="1"/>
  <c r="AE298" i="1"/>
  <c r="AF298" i="1"/>
  <c r="AG298" i="1"/>
  <c r="AH298" i="1"/>
  <c r="AJ298" i="1"/>
  <c r="AL298" i="1"/>
  <c r="AO298" i="1"/>
  <c r="I298" i="1" s="1"/>
  <c r="AP298" i="1"/>
  <c r="AX298" i="1" s="1"/>
  <c r="BD298" i="1"/>
  <c r="BF298" i="1"/>
  <c r="BJ298" i="1"/>
  <c r="I300" i="1"/>
  <c r="J300" i="1"/>
  <c r="K300" i="1"/>
  <c r="AB300" i="1"/>
  <c r="AC300" i="1"/>
  <c r="AD300" i="1"/>
  <c r="AE300" i="1"/>
  <c r="AF300" i="1"/>
  <c r="AG300" i="1"/>
  <c r="AH300" i="1"/>
  <c r="AJ300" i="1"/>
  <c r="AK300" i="1"/>
  <c r="AL300" i="1"/>
  <c r="AO300" i="1"/>
  <c r="AP300" i="1"/>
  <c r="AV300" i="1"/>
  <c r="AW300" i="1"/>
  <c r="BC300" i="1" s="1"/>
  <c r="AX300" i="1"/>
  <c r="BD300" i="1"/>
  <c r="BF300" i="1"/>
  <c r="BH300" i="1"/>
  <c r="BI300" i="1"/>
  <c r="BJ300" i="1"/>
  <c r="Z300" i="1" s="1"/>
  <c r="I302" i="1"/>
  <c r="K302" i="1"/>
  <c r="AB302" i="1"/>
  <c r="AC302" i="1"/>
  <c r="AD302" i="1"/>
  <c r="AE302" i="1"/>
  <c r="AF302" i="1"/>
  <c r="AG302" i="1"/>
  <c r="AH302" i="1"/>
  <c r="AJ302" i="1"/>
  <c r="AK302" i="1"/>
  <c r="AL302" i="1"/>
  <c r="AO302" i="1"/>
  <c r="AP302" i="1"/>
  <c r="AX302" i="1" s="1"/>
  <c r="AV302" i="1"/>
  <c r="AW302" i="1"/>
  <c r="BC302" i="1" s="1"/>
  <c r="BD302" i="1"/>
  <c r="BF302" i="1"/>
  <c r="BH302" i="1"/>
  <c r="BJ302" i="1"/>
  <c r="Z302" i="1" s="1"/>
  <c r="C18" i="2" l="1"/>
  <c r="K289" i="1"/>
  <c r="AK290" i="1"/>
  <c r="AT289" i="1" s="1"/>
  <c r="AU220" i="1"/>
  <c r="J208" i="1"/>
  <c r="AX208" i="1"/>
  <c r="BI208" i="1"/>
  <c r="AE208" i="1" s="1"/>
  <c r="AU196" i="1"/>
  <c r="AK158" i="1"/>
  <c r="K154" i="1"/>
  <c r="I147" i="1"/>
  <c r="I146" i="1" s="1"/>
  <c r="BH147" i="1"/>
  <c r="AD147" i="1" s="1"/>
  <c r="AW147" i="1"/>
  <c r="BI298" i="1"/>
  <c r="J298" i="1"/>
  <c r="AW287" i="1"/>
  <c r="AV216" i="1"/>
  <c r="AX214" i="1"/>
  <c r="J214" i="1"/>
  <c r="BI214" i="1"/>
  <c r="AE214" i="1" s="1"/>
  <c r="I212" i="1"/>
  <c r="AW212" i="1"/>
  <c r="BH212" i="1"/>
  <c r="AD212" i="1" s="1"/>
  <c r="I210" i="1"/>
  <c r="AW210" i="1"/>
  <c r="J206" i="1"/>
  <c r="AV201" i="1"/>
  <c r="BC201" i="1"/>
  <c r="AV184" i="1"/>
  <c r="BC184" i="1"/>
  <c r="BC133" i="1"/>
  <c r="AV133" i="1"/>
  <c r="K132" i="1"/>
  <c r="AK133" i="1"/>
  <c r="AT132" i="1" s="1"/>
  <c r="I117" i="1"/>
  <c r="BH117" i="1"/>
  <c r="AB117" i="1" s="1"/>
  <c r="AW117" i="1"/>
  <c r="BC74" i="1"/>
  <c r="AV74" i="1"/>
  <c r="AW16" i="1"/>
  <c r="BH16" i="1"/>
  <c r="AB16" i="1" s="1"/>
  <c r="C21" i="2"/>
  <c r="C29" i="2"/>
  <c r="F29" i="2" s="1"/>
  <c r="BI302" i="1"/>
  <c r="BH298" i="1"/>
  <c r="BI294" i="1"/>
  <c r="BH290" i="1"/>
  <c r="AX290" i="1"/>
  <c r="AK287" i="1"/>
  <c r="AT286" i="1" s="1"/>
  <c r="I287" i="1"/>
  <c r="I286" i="1" s="1"/>
  <c r="AV281" i="1"/>
  <c r="AK281" i="1"/>
  <c r="AT280" i="1" s="1"/>
  <c r="BI269" i="1"/>
  <c r="AC269" i="1" s="1"/>
  <c r="BH261" i="1"/>
  <c r="AB261" i="1" s="1"/>
  <c r="AW261" i="1"/>
  <c r="BH259" i="1"/>
  <c r="AB259" i="1" s="1"/>
  <c r="BC249" i="1"/>
  <c r="BI247" i="1"/>
  <c r="AC247" i="1" s="1"/>
  <c r="AV243" i="1"/>
  <c r="BC241" i="1"/>
  <c r="BI227" i="1"/>
  <c r="AE227" i="1" s="1"/>
  <c r="AS220" i="1"/>
  <c r="BI206" i="1"/>
  <c r="AE206" i="1" s="1"/>
  <c r="AS196" i="1"/>
  <c r="AV186" i="1"/>
  <c r="I172" i="1"/>
  <c r="BH172" i="1"/>
  <c r="AD172" i="1" s="1"/>
  <c r="AW172" i="1"/>
  <c r="AV162" i="1"/>
  <c r="J160" i="1"/>
  <c r="AX160" i="1"/>
  <c r="BI160" i="1"/>
  <c r="AE160" i="1" s="1"/>
  <c r="BC80" i="1"/>
  <c r="AV80" i="1"/>
  <c r="I281" i="1"/>
  <c r="I280" i="1" s="1"/>
  <c r="J269" i="1"/>
  <c r="AW267" i="1"/>
  <c r="BH267" i="1"/>
  <c r="AB267" i="1" s="1"/>
  <c r="J254" i="1"/>
  <c r="J253" i="1" s="1"/>
  <c r="I240" i="1"/>
  <c r="AW221" i="1"/>
  <c r="I221" i="1"/>
  <c r="I220" i="1" s="1"/>
  <c r="BH221" i="1"/>
  <c r="AD221" i="1" s="1"/>
  <c r="I218" i="1"/>
  <c r="AW218" i="1"/>
  <c r="BH218" i="1"/>
  <c r="AD218" i="1" s="1"/>
  <c r="AW197" i="1"/>
  <c r="I197" i="1"/>
  <c r="I196" i="1" s="1"/>
  <c r="BH197" i="1"/>
  <c r="AD197" i="1" s="1"/>
  <c r="I194" i="1"/>
  <c r="AW194" i="1"/>
  <c r="BH194" i="1"/>
  <c r="AD194" i="1" s="1"/>
  <c r="AV296" i="1"/>
  <c r="BI290" i="1"/>
  <c r="BH281" i="1"/>
  <c r="AB281" i="1" s="1"/>
  <c r="AV278" i="1"/>
  <c r="J276" i="1"/>
  <c r="BI276" i="1"/>
  <c r="AC276" i="1" s="1"/>
  <c r="I269" i="1"/>
  <c r="AW269" i="1"/>
  <c r="I254" i="1"/>
  <c r="I253" i="1" s="1"/>
  <c r="BH254" i="1"/>
  <c r="AB254" i="1" s="1"/>
  <c r="AU240" i="1"/>
  <c r="K240" i="1"/>
  <c r="AK241" i="1"/>
  <c r="AT240" i="1" s="1"/>
  <c r="I234" i="1"/>
  <c r="I233" i="1" s="1"/>
  <c r="AW234" i="1"/>
  <c r="J227" i="1"/>
  <c r="BC225" i="1"/>
  <c r="AV225" i="1"/>
  <c r="AV223" i="1"/>
  <c r="BC223" i="1"/>
  <c r="BC203" i="1"/>
  <c r="AV203" i="1"/>
  <c r="AV175" i="1"/>
  <c r="AX158" i="1"/>
  <c r="J158" i="1"/>
  <c r="AV152" i="1"/>
  <c r="BC152" i="1"/>
  <c r="J302" i="1"/>
  <c r="AW298" i="1"/>
  <c r="J294" i="1"/>
  <c r="J289" i="1" s="1"/>
  <c r="AW290" i="1"/>
  <c r="BC278" i="1"/>
  <c r="AX276" i="1"/>
  <c r="BI274" i="1"/>
  <c r="AC274" i="1" s="1"/>
  <c r="BC274" i="1"/>
  <c r="J274" i="1"/>
  <c r="BH272" i="1"/>
  <c r="AB272" i="1" s="1"/>
  <c r="AW272" i="1"/>
  <c r="BH269" i="1"/>
  <c r="AB269" i="1" s="1"/>
  <c r="J267" i="1"/>
  <c r="J258" i="1" s="1"/>
  <c r="AX267" i="1"/>
  <c r="I267" i="1"/>
  <c r="I258" i="1" s="1"/>
  <c r="AW259" i="1"/>
  <c r="K258" i="1"/>
  <c r="AK259" i="1"/>
  <c r="AT258" i="1" s="1"/>
  <c r="AW256" i="1"/>
  <c r="BH256" i="1"/>
  <c r="AB256" i="1" s="1"/>
  <c r="BI254" i="1"/>
  <c r="AC254" i="1" s="1"/>
  <c r="AW254" i="1"/>
  <c r="K253" i="1"/>
  <c r="AK254" i="1"/>
  <c r="AT253" i="1" s="1"/>
  <c r="BH247" i="1"/>
  <c r="AB247" i="1" s="1"/>
  <c r="AX247" i="1"/>
  <c r="BC247" i="1" s="1"/>
  <c r="AX245" i="1"/>
  <c r="AV245" i="1" s="1"/>
  <c r="BI245" i="1"/>
  <c r="AC245" i="1" s="1"/>
  <c r="AX241" i="1"/>
  <c r="AV241" i="1" s="1"/>
  <c r="BI241" i="1"/>
  <c r="AC241" i="1" s="1"/>
  <c r="BH236" i="1"/>
  <c r="AB236" i="1" s="1"/>
  <c r="AW236" i="1"/>
  <c r="BH234" i="1"/>
  <c r="AB234" i="1" s="1"/>
  <c r="AV227" i="1"/>
  <c r="J221" i="1"/>
  <c r="J220" i="1" s="1"/>
  <c r="AX221" i="1"/>
  <c r="J218" i="1"/>
  <c r="BH210" i="1"/>
  <c r="AD210" i="1" s="1"/>
  <c r="AV206" i="1"/>
  <c r="J197" i="1"/>
  <c r="AX197" i="1"/>
  <c r="J194" i="1"/>
  <c r="AX168" i="1"/>
  <c r="AV168" i="1" s="1"/>
  <c r="J168" i="1"/>
  <c r="BI168" i="1"/>
  <c r="AE168" i="1" s="1"/>
  <c r="I164" i="1"/>
  <c r="BH164" i="1"/>
  <c r="AD164" i="1" s="1"/>
  <c r="AW164" i="1"/>
  <c r="AW155" i="1"/>
  <c r="BH155" i="1"/>
  <c r="AD155" i="1" s="1"/>
  <c r="AV99" i="1"/>
  <c r="BC99" i="1"/>
  <c r="AV67" i="1"/>
  <c r="BC67" i="1"/>
  <c r="BC53" i="1"/>
  <c r="AV53" i="1"/>
  <c r="AU43" i="1"/>
  <c r="AV44" i="1"/>
  <c r="AT43" i="1"/>
  <c r="I276" i="1"/>
  <c r="K233" i="1"/>
  <c r="AK234" i="1"/>
  <c r="AT233" i="1" s="1"/>
  <c r="J184" i="1"/>
  <c r="BI184" i="1"/>
  <c r="AE184" i="1" s="1"/>
  <c r="I170" i="1"/>
  <c r="J139" i="1"/>
  <c r="AX139" i="1"/>
  <c r="J63" i="1"/>
  <c r="BI63" i="1"/>
  <c r="AC63" i="1" s="1"/>
  <c r="BI36" i="1"/>
  <c r="AC36" i="1" s="1"/>
  <c r="AX36" i="1"/>
  <c r="AV36" i="1" s="1"/>
  <c r="J36" i="1"/>
  <c r="J33" i="1" s="1"/>
  <c r="BC34" i="1"/>
  <c r="AV34" i="1"/>
  <c r="AV28" i="1"/>
  <c r="BC28" i="1"/>
  <c r="I25" i="1"/>
  <c r="AW25" i="1"/>
  <c r="BH25" i="1"/>
  <c r="AB25" i="1" s="1"/>
  <c r="C14" i="2" s="1"/>
  <c r="K12" i="1"/>
  <c r="AK13" i="1"/>
  <c r="AT12" i="1" s="1"/>
  <c r="BH241" i="1"/>
  <c r="AB241" i="1" s="1"/>
  <c r="BH230" i="1"/>
  <c r="AD230" i="1" s="1"/>
  <c r="AW230" i="1"/>
  <c r="BI223" i="1"/>
  <c r="AE223" i="1" s="1"/>
  <c r="BI216" i="1"/>
  <c r="AE216" i="1" s="1"/>
  <c r="BH208" i="1"/>
  <c r="AD208" i="1" s="1"/>
  <c r="I208" i="1"/>
  <c r="BI201" i="1"/>
  <c r="AE201" i="1" s="1"/>
  <c r="BI192" i="1"/>
  <c r="AE192" i="1" s="1"/>
  <c r="I192" i="1"/>
  <c r="AW192" i="1"/>
  <c r="AV182" i="1"/>
  <c r="I182" i="1"/>
  <c r="BH170" i="1"/>
  <c r="AD170" i="1" s="1"/>
  <c r="J164" i="1"/>
  <c r="AV158" i="1"/>
  <c r="BC158" i="1"/>
  <c r="AW144" i="1"/>
  <c r="BH144" i="1"/>
  <c r="AD144" i="1" s="1"/>
  <c r="I144" i="1"/>
  <c r="I132" i="1" s="1"/>
  <c r="BI139" i="1"/>
  <c r="AE139" i="1" s="1"/>
  <c r="AW139" i="1"/>
  <c r="BH139" i="1"/>
  <c r="AD139" i="1" s="1"/>
  <c r="C16" i="2" s="1"/>
  <c r="BC97" i="1"/>
  <c r="AV97" i="1"/>
  <c r="BI28" i="1"/>
  <c r="AC28" i="1" s="1"/>
  <c r="AX28" i="1"/>
  <c r="AT15" i="1"/>
  <c r="C17" i="2"/>
  <c r="BH166" i="1"/>
  <c r="AD166" i="1" s="1"/>
  <c r="AW166" i="1"/>
  <c r="BI162" i="1"/>
  <c r="AE162" i="1" s="1"/>
  <c r="BH152" i="1"/>
  <c r="AD152" i="1" s="1"/>
  <c r="K146" i="1"/>
  <c r="AK147" i="1"/>
  <c r="AT146" i="1" s="1"/>
  <c r="J141" i="1"/>
  <c r="J132" i="1" s="1"/>
  <c r="BI141" i="1"/>
  <c r="AE141" i="1" s="1"/>
  <c r="AV135" i="1"/>
  <c r="AU132" i="1"/>
  <c r="AX125" i="1"/>
  <c r="J125" i="1"/>
  <c r="BI125" i="1"/>
  <c r="AC125" i="1" s="1"/>
  <c r="AX117" i="1"/>
  <c r="BI117" i="1"/>
  <c r="AC117" i="1" s="1"/>
  <c r="J117" i="1"/>
  <c r="AW84" i="1"/>
  <c r="BH84" i="1"/>
  <c r="AB84" i="1" s="1"/>
  <c r="AX58" i="1"/>
  <c r="BC58" i="1" s="1"/>
  <c r="BI58" i="1"/>
  <c r="AC58" i="1" s="1"/>
  <c r="C15" i="2" s="1"/>
  <c r="K33" i="1"/>
  <c r="K27" i="1"/>
  <c r="AK28" i="1"/>
  <c r="AT27" i="1" s="1"/>
  <c r="I23" i="1"/>
  <c r="I22" i="1" s="1"/>
  <c r="AW23" i="1"/>
  <c r="BH23" i="1"/>
  <c r="AB23" i="1" s="1"/>
  <c r="AV18" i="1"/>
  <c r="BC18" i="1"/>
  <c r="I158" i="1"/>
  <c r="I154" i="1" s="1"/>
  <c r="BH158" i="1"/>
  <c r="AD158" i="1" s="1"/>
  <c r="AT154" i="1"/>
  <c r="J84" i="1"/>
  <c r="AX84" i="1"/>
  <c r="AV63" i="1"/>
  <c r="BC63" i="1"/>
  <c r="AV58" i="1"/>
  <c r="AV48" i="1"/>
  <c r="BC48" i="1"/>
  <c r="K43" i="1"/>
  <c r="J23" i="1"/>
  <c r="J22" i="1" s="1"/>
  <c r="AV13" i="1"/>
  <c r="BC13" i="1"/>
  <c r="C27" i="2"/>
  <c r="AS154" i="1"/>
  <c r="K151" i="1"/>
  <c r="AK152" i="1"/>
  <c r="AT151" i="1" s="1"/>
  <c r="AV141" i="1"/>
  <c r="BC141" i="1"/>
  <c r="AW120" i="1"/>
  <c r="BH120" i="1"/>
  <c r="AB120" i="1" s="1"/>
  <c r="J108" i="1"/>
  <c r="BI108" i="1"/>
  <c r="AC108" i="1" s="1"/>
  <c r="I88" i="1"/>
  <c r="AW88" i="1"/>
  <c r="I44" i="1"/>
  <c r="I43" i="1" s="1"/>
  <c r="I34" i="1"/>
  <c r="I33" i="1" s="1"/>
  <c r="K15" i="1"/>
  <c r="C20" i="2"/>
  <c r="I108" i="1"/>
  <c r="AS43" i="1"/>
  <c r="AS33" i="1"/>
  <c r="K22" i="1"/>
  <c r="AK23" i="1"/>
  <c r="AT22" i="1" s="1"/>
  <c r="AS15" i="1"/>
  <c r="C19" i="2"/>
  <c r="C22" i="2" l="1"/>
  <c r="BC245" i="1"/>
  <c r="BC36" i="1"/>
  <c r="BC25" i="1"/>
  <c r="AV25" i="1"/>
  <c r="AV254" i="1"/>
  <c r="BC254" i="1"/>
  <c r="BC276" i="1"/>
  <c r="AV276" i="1"/>
  <c r="AV298" i="1"/>
  <c r="BC298" i="1"/>
  <c r="J154" i="1"/>
  <c r="AV247" i="1"/>
  <c r="AV194" i="1"/>
  <c r="BC194" i="1"/>
  <c r="AV197" i="1"/>
  <c r="BC197" i="1"/>
  <c r="AV172" i="1"/>
  <c r="BC172" i="1"/>
  <c r="BC212" i="1"/>
  <c r="AV212" i="1"/>
  <c r="BC214" i="1"/>
  <c r="AV214" i="1"/>
  <c r="BC208" i="1"/>
  <c r="AV208" i="1"/>
  <c r="AV23" i="1"/>
  <c r="BC23" i="1"/>
  <c r="BC125" i="1"/>
  <c r="AV125" i="1"/>
  <c r="BC272" i="1"/>
  <c r="AV272" i="1"/>
  <c r="AV269" i="1"/>
  <c r="BC269" i="1"/>
  <c r="BC267" i="1"/>
  <c r="AV267" i="1"/>
  <c r="AV88" i="1"/>
  <c r="BC88" i="1"/>
  <c r="BC166" i="1"/>
  <c r="AV166" i="1"/>
  <c r="BC120" i="1"/>
  <c r="AV120" i="1"/>
  <c r="BC84" i="1"/>
  <c r="AV84" i="1"/>
  <c r="AV155" i="1"/>
  <c r="BC155" i="1"/>
  <c r="BC160" i="1"/>
  <c r="AV160" i="1"/>
  <c r="AV117" i="1"/>
  <c r="BC117" i="1"/>
  <c r="AV210" i="1"/>
  <c r="BC210" i="1"/>
  <c r="AV147" i="1"/>
  <c r="BC147" i="1"/>
  <c r="BC256" i="1"/>
  <c r="AV256" i="1"/>
  <c r="C28" i="2"/>
  <c r="F28" i="2" s="1"/>
  <c r="AV139" i="1"/>
  <c r="BC139" i="1"/>
  <c r="BC144" i="1"/>
  <c r="AV144" i="1"/>
  <c r="BC168" i="1"/>
  <c r="BC192" i="1"/>
  <c r="AV192" i="1"/>
  <c r="BC230" i="1"/>
  <c r="AV230" i="1"/>
  <c r="K304" i="1"/>
  <c r="J43" i="1"/>
  <c r="AV164" i="1"/>
  <c r="BC164" i="1"/>
  <c r="J196" i="1"/>
  <c r="BC236" i="1"/>
  <c r="AV236" i="1"/>
  <c r="AV259" i="1"/>
  <c r="BC259" i="1"/>
  <c r="AV290" i="1"/>
  <c r="BC290" i="1"/>
  <c r="AV234" i="1"/>
  <c r="BC234" i="1"/>
  <c r="AV218" i="1"/>
  <c r="BC218" i="1"/>
  <c r="AV221" i="1"/>
  <c r="BC221" i="1"/>
  <c r="BC261" i="1"/>
  <c r="AV261" i="1"/>
  <c r="AV16" i="1"/>
  <c r="BC16" i="1"/>
  <c r="BC287" i="1"/>
  <c r="AV287" i="1"/>
  <c r="I28" i="2" l="1"/>
  <c r="I29" i="2" s="1"/>
</calcChain>
</file>

<file path=xl/sharedStrings.xml><?xml version="1.0" encoding="utf-8"?>
<sst xmlns="http://schemas.openxmlformats.org/spreadsheetml/2006/main" count="1344" uniqueCount="609">
  <si>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</si>
  <si>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</si>
  <si>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</si>
  <si>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</si>
  <si>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</si>
  <si>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</si>
  <si>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</si>
  <si>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</si>
  <si>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</si>
  <si>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</si>
  <si>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</si>
  <si>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</si>
  <si>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</si>
  <si>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</si>
  <si>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</si>
  <si>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</si>
  <si>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</si>
  <si>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</si>
  <si>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</si>
  <si>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</si>
  <si>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</si>
  <si>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</si>
  <si>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</si>
  <si>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</si>
  <si>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</si>
  <si>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</si>
  <si>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</si>
  <si>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</si>
  <si>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</si>
  <si>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</si>
  <si>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</si>
  <si>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</si>
  <si>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</si>
  <si>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</si>
  <si>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</si>
  <si>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</si>
  <si>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</si>
  <si>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</si>
  <si>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</si>
  <si>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</si>
  <si>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</si>
  <si>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</si>
  <si>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</si>
  <si>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</si>
  <si>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</si>
  <si>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</si>
  <si>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</si>
  <si>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</si>
  <si>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</si>
  <si>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</si>
  <si>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</si>
  <si>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</si>
  <si>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</si>
  <si>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</si>
  <si>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</si>
  <si>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</si>
  <si>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</si>
  <si>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</si>
  <si>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</si>
  <si>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</si>
  <si>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</si>
  <si>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</si>
  <si>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</si>
  <si>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</si>
  <si>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</si>
  <si>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</si>
  <si>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</si>
  <si>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</si>
  <si>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</si>
  <si>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</si>
  <si>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</si>
  <si>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</si>
  <si>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</si>
  <si>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</si>
  <si>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</si>
  <si>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</si>
  <si>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</si>
  <si>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</si>
  <si>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</si>
  <si>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</si>
  <si>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</si>
  <si>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</si>
  <si>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</si>
  <si>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</si>
  <si>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</si>
  <si>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</si>
  <si>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</si>
  <si>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</si>
  <si>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</si>
  <si>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</si>
  <si>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</si>
  <si>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</si>
  <si>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</si>
  <si>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</si>
  <si>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</si>
  <si>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</si>
  <si>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</si>
  <si>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</si>
  <si>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</si>
  <si>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</si>
  <si>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</si>
  <si>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Poznámka:</t>
  </si>
  <si>
    <t>Kód</t>
  </si>
  <si>
    <t>0</t>
  </si>
  <si>
    <t>001001109VD</t>
  </si>
  <si>
    <t>113107120RA0</t>
  </si>
  <si>
    <t>113106005RAC</t>
  </si>
  <si>
    <t>113201012RAC</t>
  </si>
  <si>
    <t>210001100VD</t>
  </si>
  <si>
    <t>210001101VD</t>
  </si>
  <si>
    <t>591100020RA0</t>
  </si>
  <si>
    <t>611481211R00</t>
  </si>
  <si>
    <t>612425931R00</t>
  </si>
  <si>
    <t>622311016R00</t>
  </si>
  <si>
    <t>622311735RU4</t>
  </si>
  <si>
    <t>622311135RT3</t>
  </si>
  <si>
    <t>622432112R00</t>
  </si>
  <si>
    <t>622311753RT3</t>
  </si>
  <si>
    <t>622311353RT3</t>
  </si>
  <si>
    <t>622311563R00</t>
  </si>
  <si>
    <t>622311730RU4</t>
  </si>
  <si>
    <t>622311130RT3</t>
  </si>
  <si>
    <t>622904112R00</t>
  </si>
  <si>
    <t>622422211R00</t>
  </si>
  <si>
    <t>622421491R00</t>
  </si>
  <si>
    <t>622421492R00</t>
  </si>
  <si>
    <t>622473187RT2</t>
  </si>
  <si>
    <t>622421494R00</t>
  </si>
  <si>
    <t>620991121R00</t>
  </si>
  <si>
    <t>713</t>
  </si>
  <si>
    <t>713111125R00</t>
  </si>
  <si>
    <t>6315085922</t>
  </si>
  <si>
    <t>713100090RA0</t>
  </si>
  <si>
    <t>631405689</t>
  </si>
  <si>
    <t>713141221RK3</t>
  </si>
  <si>
    <t>721</t>
  </si>
  <si>
    <t>721242803R00</t>
  </si>
  <si>
    <t>721242111R00</t>
  </si>
  <si>
    <t>762</t>
  </si>
  <si>
    <t>762520020RAA</t>
  </si>
  <si>
    <t>764</t>
  </si>
  <si>
    <t>764900050RA0</t>
  </si>
  <si>
    <t>764321820R00</t>
  </si>
  <si>
    <t>764311821R00</t>
  </si>
  <si>
    <t>764454801R00</t>
  </si>
  <si>
    <t>764556711R00</t>
  </si>
  <si>
    <t>764359811R00</t>
  </si>
  <si>
    <t>764900035RA0</t>
  </si>
  <si>
    <t>764351837R00</t>
  </si>
  <si>
    <t>764410310RAB</t>
  </si>
  <si>
    <t>764211401R00</t>
  </si>
  <si>
    <t>764554410RAB</t>
  </si>
  <si>
    <t>764551492R00</t>
  </si>
  <si>
    <t>5535128520</t>
  </si>
  <si>
    <t>764251405R00</t>
  </si>
  <si>
    <t>764252492R00</t>
  </si>
  <si>
    <t>55351590</t>
  </si>
  <si>
    <t>764359312R00</t>
  </si>
  <si>
    <t>766</t>
  </si>
  <si>
    <t>766629301R00</t>
  </si>
  <si>
    <t>611110014VD</t>
  </si>
  <si>
    <t>611110017VD</t>
  </si>
  <si>
    <t>766629303R00</t>
  </si>
  <si>
    <t>611110015VD</t>
  </si>
  <si>
    <t>766629302R00</t>
  </si>
  <si>
    <t>611110016VD</t>
  </si>
  <si>
    <t>766629304R00</t>
  </si>
  <si>
    <t>611110018VD</t>
  </si>
  <si>
    <t>766110011VD</t>
  </si>
  <si>
    <t>767</t>
  </si>
  <si>
    <t>767999801R00</t>
  </si>
  <si>
    <t>767991166VD</t>
  </si>
  <si>
    <t>767811100R00</t>
  </si>
  <si>
    <t>42972860</t>
  </si>
  <si>
    <t>784</t>
  </si>
  <si>
    <t>784433271R00</t>
  </si>
  <si>
    <t>916661111R00</t>
  </si>
  <si>
    <t>59217510</t>
  </si>
  <si>
    <t>941941031R00</t>
  </si>
  <si>
    <t>941941191R00</t>
  </si>
  <si>
    <t>941941831R00</t>
  </si>
  <si>
    <t>944944011R00</t>
  </si>
  <si>
    <t>944944031R00</t>
  </si>
  <si>
    <t>944944081R00</t>
  </si>
  <si>
    <t>95</t>
  </si>
  <si>
    <t>952901411R00</t>
  </si>
  <si>
    <t>952901110R00</t>
  </si>
  <si>
    <t>96</t>
  </si>
  <si>
    <t>968071112R00</t>
  </si>
  <si>
    <t>968072244R00</t>
  </si>
  <si>
    <t>968061112R00</t>
  </si>
  <si>
    <t>968062356R00</t>
  </si>
  <si>
    <t>968062245R00</t>
  </si>
  <si>
    <t>968061125R00</t>
  </si>
  <si>
    <t>968072456R00</t>
  </si>
  <si>
    <t>966031313R00</t>
  </si>
  <si>
    <t>968111143VD</t>
  </si>
  <si>
    <t>97</t>
  </si>
  <si>
    <t>978015231R00</t>
  </si>
  <si>
    <t>H99</t>
  </si>
  <si>
    <t>999281108R00</t>
  </si>
  <si>
    <t>M46</t>
  </si>
  <si>
    <t>460620006RT1</t>
  </si>
  <si>
    <t>S</t>
  </si>
  <si>
    <t>979011111R00</t>
  </si>
  <si>
    <t>979011121R00</t>
  </si>
  <si>
    <t>979082212R00</t>
  </si>
  <si>
    <t>979087113R00</t>
  </si>
  <si>
    <t>979081111R00</t>
  </si>
  <si>
    <t>979081121R00</t>
  </si>
  <si>
    <t>979999999R00</t>
  </si>
  <si>
    <t>SNÍŽENÍ ENERGETICKÉ NÁROČNOSTI BUDOVY</t>
  </si>
  <si>
    <t>D.1.1. ARCHITEKTONICKO-STAVEBNÍ ŘEŠENÍ</t>
  </si>
  <si>
    <t>ulice Pražská čp. 340, 41118 Budyně nad Ohří</t>
  </si>
  <si>
    <t>Zkrácený popis</t>
  </si>
  <si>
    <t>Rozměry</t>
  </si>
  <si>
    <t>Všeobecné konstrukce a práce</t>
  </si>
  <si>
    <t>Hromosvod (prodloužení úchytů, výměna lan, revize)</t>
  </si>
  <si>
    <t>1;hromosvod;   </t>
  </si>
  <si>
    <t>Přípravné a přidružené práce</t>
  </si>
  <si>
    <t>Odstranění bet.podesty, kryt tl.20 cm, pl.do 50 m2</t>
  </si>
  <si>
    <t>1,6*2;B9;   </t>
  </si>
  <si>
    <t>Odstranění beton.dlažby vč.podkladu, pl.do 50 m2</t>
  </si>
  <si>
    <t>45;B10;   </t>
  </si>
  <si>
    <t>Vytrhání obrubníků chodníkových a parkových</t>
  </si>
  <si>
    <t>90;B10;   </t>
  </si>
  <si>
    <t>Úprava podloží a základové spáry</t>
  </si>
  <si>
    <t>Světlo nad vstupníme dveřmi včetně připojení</t>
  </si>
  <si>
    <t>2;D;   </t>
  </si>
  <si>
    <t>Zvonkové tablo pro 6 bytů včetně připojení</t>
  </si>
  <si>
    <t>2;E;   </t>
  </si>
  <si>
    <t>Kryty pozemních komunikací, letišť a ploch dlážděných (předlažby)</t>
  </si>
  <si>
    <t>Chodník a podesta z dlažby zámkové přírodní, podklad štěrkodrť</t>
  </si>
  <si>
    <t>1,7*2;A-podesty;   </t>
  </si>
  <si>
    <t>45;C-okapový chodníček;   </t>
  </si>
  <si>
    <t>48,4*0,05;prořez;   </t>
  </si>
  <si>
    <t>0,18;zaokrouhlení;   </t>
  </si>
  <si>
    <t>Úprava povrchů vnitřní</t>
  </si>
  <si>
    <t>Montáž výztužné sítě (perlinky) do stěrky-stropy</t>
  </si>
  <si>
    <t>250;PDL1;   </t>
  </si>
  <si>
    <t>Omítka vápenná vnitřního ostění - štuková</t>
  </si>
  <si>
    <t>(0,9+0,6)*2*17*0,3;O1;   </t>
  </si>
  <si>
    <t>(2,1+1,5)*2*24*0,3;O2;   </t>
  </si>
  <si>
    <t>(1,35+1,35)*2*16*0,3;O3;   </t>
  </si>
  <si>
    <t>(0,6+1,2)*2*12*0,3;O4;   </t>
  </si>
  <si>
    <t>(0,6+1,2)*2*12*0,3;O5;   </t>
  </si>
  <si>
    <t>(1,35+2,115)*2*2*0,3;D1;   </t>
  </si>
  <si>
    <t>Úprava povrchů vnější</t>
  </si>
  <si>
    <t>Soklová lišta hliník KZSt tl. 150 mm</t>
  </si>
  <si>
    <t>(33+10)*2-1,6*2;lišta;   </t>
  </si>
  <si>
    <t>82,8*0,1;prořez;   </t>
  </si>
  <si>
    <t>-0,08;zaokrouhlení;   </t>
  </si>
  <si>
    <t>Zatepl.syst., fasáda, miner.desky tl. 150 mm s omítkou Silikon</t>
  </si>
  <si>
    <t>(33+10)*2*1-1,6*2*1;požární pás;   </t>
  </si>
  <si>
    <t>0,5*0,5*19;kolem výduchů;   </t>
  </si>
  <si>
    <t>87,55*0,05;prořez;   </t>
  </si>
  <si>
    <t>0,0725;zaokrouhelní;   </t>
  </si>
  <si>
    <t>Zateplovací systém, fasáda, EPS F tl.560 mm s omítkou Silikon</t>
  </si>
  <si>
    <t>(33+10)*2*8,33;EPS;   </t>
  </si>
  <si>
    <t>-(2,1*1,5*24+1,35*1,35*16+0,6*1,2*24);odpočet oken;   </t>
  </si>
  <si>
    <t>594,34*0,05;prořez;   </t>
  </si>
  <si>
    <t>-0,057;zaokrouhlení;   </t>
  </si>
  <si>
    <t>Omítka stěn marmolit</t>
  </si>
  <si>
    <t>(32,5+9,75)*2*1,07;marmolit soklu;   </t>
  </si>
  <si>
    <t>(0,9+0,6*2)*0,15*17;ostění;   </t>
  </si>
  <si>
    <t>95,77*0,05;ztratné;   </t>
  </si>
  <si>
    <t>0,4415;zaokrouhlení;   </t>
  </si>
  <si>
    <t>Zatepl.syst., ostění, miner.desky tl. 30 mm s omítkou Silikon</t>
  </si>
  <si>
    <t>1*0,35*2*2+1,35*0,35*2;dveře;   </t>
  </si>
  <si>
    <t>2,345*0,05;prořez;   </t>
  </si>
  <si>
    <t>0,53775;zaokrouhlení;   </t>
  </si>
  <si>
    <t>Zatepl.systém, ostění, EPS F plus tl. 30 mm s omítkou Silikon</t>
  </si>
  <si>
    <t>(2,1+1,5*2)*24*0,3   </t>
  </si>
  <si>
    <t>(1,35+1,35*2)*16*0,3   </t>
  </si>
  <si>
    <t>(0,6+1,2*2)*24*0,3   </t>
  </si>
  <si>
    <t>;okna;   </t>
  </si>
  <si>
    <t>77,76*0,05;prořez;   </t>
  </si>
  <si>
    <t>0,352;zaokrouhlení;   </t>
  </si>
  <si>
    <t>Zateplovací systém, parapet, XPS tl. 30 mm</t>
  </si>
  <si>
    <t>2,1*24*0,3   </t>
  </si>
  <si>
    <t>1,35*(16+12+12)*0,3   </t>
  </si>
  <si>
    <t>;parapety;   </t>
  </si>
  <si>
    <t>31,32*0,05;prořez;   </t>
  </si>
  <si>
    <t>0,114;zaokrouhlení;   </t>
  </si>
  <si>
    <t>Zatepl.syst., podhled stříšky, miner.desky tl. 50 mm</t>
  </si>
  <si>
    <t>2,6*0,45*2;podhled stříšky;   </t>
  </si>
  <si>
    <t>2,34*0,05;prořez;   </t>
  </si>
  <si>
    <t>0,543;zaokrouhlení;   </t>
  </si>
  <si>
    <t>Zateplovací systém, římsa, EPS F tl. 50 mm</t>
  </si>
  <si>
    <t>(33,3+10,65)*2*0,45;římsa;   </t>
  </si>
  <si>
    <t>39,555*0,05;prořez;   </t>
  </si>
  <si>
    <t>0,46725;zaokrouhlení;   </t>
  </si>
  <si>
    <t>Očištění fasád tlakovou vodou</t>
  </si>
  <si>
    <t>87,55;viz minrální vln fasáda;   </t>
  </si>
  <si>
    <t>594,34;viz EPS fasáda;   </t>
  </si>
  <si>
    <t>95,77;viz marmolit;   </t>
  </si>
  <si>
    <t>2,345;viz ostění minerál;   </t>
  </si>
  <si>
    <t>77,76;viz ostění EPS;   </t>
  </si>
  <si>
    <t>31,32;viz parepety;   </t>
  </si>
  <si>
    <t>2,34*;viz podhled stříšek;   </t>
  </si>
  <si>
    <t>39,555;viz římsa;   </t>
  </si>
  <si>
    <t>Oprava vnějších omítek vápen. hladk. II, do 20 % - předpoklad</t>
  </si>
  <si>
    <t>930,98;viz očištění;   </t>
  </si>
  <si>
    <t>Doplňky zatepl. systémů, rohová lišta s okapničkou</t>
  </si>
  <si>
    <t>0,9*17;O1;   </t>
  </si>
  <si>
    <t>2,1*24;O2;   </t>
  </si>
  <si>
    <t>1,35*16;O3;   </t>
  </si>
  <si>
    <t>0,9*12;O4;   </t>
  </si>
  <si>
    <t>0,6*12;O5;   </t>
  </si>
  <si>
    <t>1,35*2;D1;   </t>
  </si>
  <si>
    <t>108*0,1;prořez;   </t>
  </si>
  <si>
    <t>0,2;zaokrouhlení;   </t>
  </si>
  <si>
    <t>Doplňky zatepl. systémů, okenní lišta s tkaninou</t>
  </si>
  <si>
    <t>0,6*2*17;O1;   </t>
  </si>
  <si>
    <t>1,5*2*24;O2;   </t>
  </si>
  <si>
    <t>1,35*2*16;O3;   </t>
  </si>
  <si>
    <t>1,2*2*12;O4;   </t>
  </si>
  <si>
    <t>1,2*2*12;O5;   </t>
  </si>
  <si>
    <t>2,115*2*2;D1;   </t>
  </si>
  <si>
    <t>201,66*0,1;prořez;   </t>
  </si>
  <si>
    <t>0,174;zaokrouhlení;   </t>
  </si>
  <si>
    <t>Příplatek za okenní lištu (APU) - montáž včetně dodávky lišty</t>
  </si>
  <si>
    <t>119;viz rohová lišta;   </t>
  </si>
  <si>
    <t>222;viz okenní lišta;   </t>
  </si>
  <si>
    <t>Doplňky zatepl. systémů, podparapetní lišta s tkan</t>
  </si>
  <si>
    <t>2,1*24;viz P1;   </t>
  </si>
  <si>
    <t>1,35*40;viz P2;   </t>
  </si>
  <si>
    <t>104,4*0,1;prořez;   </t>
  </si>
  <si>
    <t>0,16;zaokrouhlení;   </t>
  </si>
  <si>
    <t>Zakrývání výplní vnějších otvorů</t>
  </si>
  <si>
    <t>0,9*0,6*17;O1;   </t>
  </si>
  <si>
    <t>2,1*1,5*24;O2;   </t>
  </si>
  <si>
    <t>1,35*1,35*16;O3;   </t>
  </si>
  <si>
    <t>0,6*1,2*12;O4;   </t>
  </si>
  <si>
    <t>0,6*1,2*12;O5;   </t>
  </si>
  <si>
    <t>1,35*2,115*2;D1;   </t>
  </si>
  <si>
    <t>Izolace tepelné</t>
  </si>
  <si>
    <t>Izolace tepelné stropů rovných spodem, lepením a kotvením</t>
  </si>
  <si>
    <t>Pás izolační BETA-ROCK SYSTEM FASROCK TL. 80MM</t>
  </si>
  <si>
    <t>250;viz izolace;   </t>
  </si>
  <si>
    <t>250*0,05;prořez;   </t>
  </si>
  <si>
    <t>0,5;zaokrouhlení;   </t>
  </si>
  <si>
    <t>Izolace tepelné volně položené</t>
  </si>
  <si>
    <t>280;STR1;   </t>
  </si>
  <si>
    <t>Rohož izolační minerální MEGAROCK PLUS tl. 220 mm</t>
  </si>
  <si>
    <t>280;viz izolace;   </t>
  </si>
  <si>
    <t>280*0,05;prořez;   </t>
  </si>
  <si>
    <t>Montáž parozábrany včetně dodávky</t>
  </si>
  <si>
    <t>294;viz izolace;   </t>
  </si>
  <si>
    <t>Vnitřní kanalizace</t>
  </si>
  <si>
    <t>Demontáž lapače střešních splavenin DN 100</t>
  </si>
  <si>
    <t>4;B13;   </t>
  </si>
  <si>
    <t>Lapač střešních splavenin D 110 mm</t>
  </si>
  <si>
    <t>4;K2;   </t>
  </si>
  <si>
    <t>Konstrukce tesařské</t>
  </si>
  <si>
    <t>Podlaha v krovu z prken včetně ztužení</t>
  </si>
  <si>
    <t>30;podlaha v krovu;   </t>
  </si>
  <si>
    <t>Konstrukce klempířské</t>
  </si>
  <si>
    <t>Demontáž oplechování parapetů</t>
  </si>
  <si>
    <t>2,1*24;B3;   </t>
  </si>
  <si>
    <t>1,35*40;B5;   </t>
  </si>
  <si>
    <t>Demontáž oplechování říms</t>
  </si>
  <si>
    <t>(33+10)*2-2,1*2;B8;   </t>
  </si>
  <si>
    <t>Demontáž oplechování stříšky</t>
  </si>
  <si>
    <t>2,6*0,6*2;B12;   </t>
  </si>
  <si>
    <t>Demontáž odpadních trub kruhových,D 75 a 100 mm</t>
  </si>
  <si>
    <t>44;B13;   </t>
  </si>
  <si>
    <t>Demontáž kruhové zděře  D 75 a 100 mm</t>
  </si>
  <si>
    <t>40;B13;   </t>
  </si>
  <si>
    <t>Demontáž kotlíku kónického, sklon do 45°</t>
  </si>
  <si>
    <t>Demontáž podokapních žlabů půlkruhových</t>
  </si>
  <si>
    <t>88;B14;   </t>
  </si>
  <si>
    <t>Demontáž háků, sklon do 45°</t>
  </si>
  <si>
    <t>90;B14;   </t>
  </si>
  <si>
    <t>Oplechování parapetů z elox. hliníku včetně doplňků</t>
  </si>
  <si>
    <t>2,1*24;P1;   </t>
  </si>
  <si>
    <t>1,35*40;P2;   </t>
  </si>
  <si>
    <t>Oplechování stříšky z TiZn plechu</t>
  </si>
  <si>
    <t>2,6*0,45*2;K1;   </t>
  </si>
  <si>
    <t>0,66;prořez;   </t>
  </si>
  <si>
    <t>Odpadní trouby z TiZn plechu kruhové</t>
  </si>
  <si>
    <t>44;K1;   </t>
  </si>
  <si>
    <t>44*0,05;prořez;   </t>
  </si>
  <si>
    <t>0,8;zaokrouhlení;   </t>
  </si>
  <si>
    <t>Montáž zděře Ti Zn</t>
  </si>
  <si>
    <t>40;K2;   </t>
  </si>
  <si>
    <t>Objímka</t>
  </si>
  <si>
    <t>40;viz montáž;   </t>
  </si>
  <si>
    <t>Žlaby z Ti Zn plechu, podok.</t>
  </si>
  <si>
    <t>88;K3;   </t>
  </si>
  <si>
    <t>88*0,05;prořez;   </t>
  </si>
  <si>
    <t>0,6;zaokrouhlení;   </t>
  </si>
  <si>
    <t>Montáž háků z Ti Zn půlkruhových</t>
  </si>
  <si>
    <t>90;K3;   </t>
  </si>
  <si>
    <t>Hák žlabový vč. kompresní těsnící pásky</t>
  </si>
  <si>
    <t>90;viz montáž;   </t>
  </si>
  <si>
    <t>Kotlík kónický</t>
  </si>
  <si>
    <t>4;K3;   </t>
  </si>
  <si>
    <t>Konstrukce truhlářské</t>
  </si>
  <si>
    <t>Montáž oken plastových plochy do 1,50 m2</t>
  </si>
  <si>
    <t>17;O1;   </t>
  </si>
  <si>
    <t>12;O4;   </t>
  </si>
  <si>
    <t>12;O5;   </t>
  </si>
  <si>
    <t>Okno plast 900x600mm, 2 sklo, Uw=1,1W/m2K</t>
  </si>
  <si>
    <t>Okno plast 600x1200mm, 2 sklo, Uw=1,1W/m2K</t>
  </si>
  <si>
    <t>Montáž oken plastových plochy do 4,50 m2</t>
  </si>
  <si>
    <t>24;O2;   </t>
  </si>
  <si>
    <t>Okno plast 2100x1500mm, 2 sklo, Uw=1,1W/m2K</t>
  </si>
  <si>
    <t>Montáž oken plastových plochy do 2,70 m2</t>
  </si>
  <si>
    <t>16;O3;   </t>
  </si>
  <si>
    <t>Okno plast 1350x1350mm, 2 sklo, Uw=1,1W/m2K</t>
  </si>
  <si>
    <t>Montáž dveří plastových</t>
  </si>
  <si>
    <t>2;D1;   </t>
  </si>
  <si>
    <t>Dveře plast 1350x2115mm, 2 sklo, Ud=1,2W/m2K, kování klika-koule, bezp. zámek</t>
  </si>
  <si>
    <t>2;D2;   </t>
  </si>
  <si>
    <t>Zateplení konstrukce stříšky (tesař. konstrukce, izolace, detaily)</t>
  </si>
  <si>
    <t>2,6*0,45*2;viz detail D9;   </t>
  </si>
  <si>
    <t>Konstrukce doplňkové stavební (zámečnické)</t>
  </si>
  <si>
    <t>Demontáž doplňků staveb o hmotnosti do 50 kg</t>
  </si>
  <si>
    <t>20*2;B9 - rohože a škrabky na boty;   </t>
  </si>
  <si>
    <t>Ocelová rohožka 900x600mm, osazení a dodávka</t>
  </si>
  <si>
    <t>2;B;   </t>
  </si>
  <si>
    <t>Montáž větracích mřížek</t>
  </si>
  <si>
    <t>24;F;   </t>
  </si>
  <si>
    <t>Mřížka čtyřhranná vel. 200x100mm se síťkou proti hmyzu</t>
  </si>
  <si>
    <t>Malby</t>
  </si>
  <si>
    <t>Malba klih.2x, 1bar.+strop,pačok 2x, míst. do 3,8m</t>
  </si>
  <si>
    <t>123,138;viz omítka vnitřního ostění;   </t>
  </si>
  <si>
    <t>Doplňující konstrukce a práce na pozemních komunikacích a zpevněných plochách</t>
  </si>
  <si>
    <t>Osazení chodník. obrubníků do lože z C 12/15 s opěrou</t>
  </si>
  <si>
    <t>90;C-okapový chodníček;   </t>
  </si>
  <si>
    <t>Obrubník přírodní 100x8x25 cm</t>
  </si>
  <si>
    <t>90;viz osazení;   </t>
  </si>
  <si>
    <t>90*0,05;prořez;   </t>
  </si>
  <si>
    <t>Lešení a stavební výtahy</t>
  </si>
  <si>
    <t>Montáž lešení leh.řad.s podlahami,š.do 1 m, H 10 m</t>
  </si>
  <si>
    <t>(33+1,2*2+10)*2*10,4;lešení;   </t>
  </si>
  <si>
    <t>Příplatek za každý měsíc použití lešení k pol.1031</t>
  </si>
  <si>
    <t>944,32*3;předpoklad 3 měsíce;   </t>
  </si>
  <si>
    <t>Demontáž lešení leh.řad.s podlahami,š.1 m, H 10 m</t>
  </si>
  <si>
    <t>944,32;viz montáž;   </t>
  </si>
  <si>
    <t>Montáž ochranné sítě z umělých vláken</t>
  </si>
  <si>
    <t>944,32;viz montáž lešení;   </t>
  </si>
  <si>
    <t>Příplatek za každý měsíc použití sítí k pol. 4011</t>
  </si>
  <si>
    <t>Demontáž ochranné sítě z umělých vláken</t>
  </si>
  <si>
    <t>Různé dokončovací konstrukce a práce na pozemních stavbách</t>
  </si>
  <si>
    <t>Vyčištění podlahy krovu</t>
  </si>
  <si>
    <t>Čištění mytím vnějších ploch oken a dveří</t>
  </si>
  <si>
    <t>136,9305;viz zakrývání;   </t>
  </si>
  <si>
    <t>Bourání konstrukcí</t>
  </si>
  <si>
    <t>Vyvěšení kovových křídel oken pl. 1,5 m2</t>
  </si>
  <si>
    <t>17;B1;   </t>
  </si>
  <si>
    <t>Vybourání kovových rámů oken jednod. pl. 1 m2</t>
  </si>
  <si>
    <t>0,9*0,6*17;B1;   </t>
  </si>
  <si>
    <t>Vyvěšení dřevěných okenních křídel pl. do 1,5 m2</t>
  </si>
  <si>
    <t>24*3;B2;   </t>
  </si>
  <si>
    <t>16*2;B4;   </t>
  </si>
  <si>
    <t>12+12;B6;   </t>
  </si>
  <si>
    <t>Vybourání dřevěných rámů oken dvojitých pl. 4 m2</t>
  </si>
  <si>
    <t>2,1*1,5*24;B2;   </t>
  </si>
  <si>
    <t>Vybourání dřevěných rámů oken jednoduch. pl. 2 m2</t>
  </si>
  <si>
    <t>1,35*1,35*16;B4;   </t>
  </si>
  <si>
    <t>0,6*1,2*24;B6;   </t>
  </si>
  <si>
    <t>Vyvěšení dřevěných dveřních křídel pl. do 2 m2</t>
  </si>
  <si>
    <t>2*2;B7;   </t>
  </si>
  <si>
    <t>Vybourání kovových dveřních zárubní pl. nad 2 m2</t>
  </si>
  <si>
    <t>1,35*2,115*2;B7;   </t>
  </si>
  <si>
    <t>Bourání říms cihelných tl. do 30 cm, vyložení do 25 cm</t>
  </si>
  <si>
    <t>Demontáž zvonkových tabel</t>
  </si>
  <si>
    <t>2;B11;   </t>
  </si>
  <si>
    <t>Prorážení otvorů a ostatní bourací práce</t>
  </si>
  <si>
    <t>Otlučení omítek vnějších MVC v složit.1-4 do 20 % - předpoklad</t>
  </si>
  <si>
    <t>Ostatní přesuny hmot</t>
  </si>
  <si>
    <t>Přesun hmot pro opravy a údržbu do výšky 12 m</t>
  </si>
  <si>
    <t>99,77378;viz hm otnost;   </t>
  </si>
  <si>
    <t>Zemní práce při montážích</t>
  </si>
  <si>
    <t>Osetí povrchu trávou včetně dodávky osiva</t>
  </si>
  <si>
    <t>(33+10*2)*2;osetí trávou;   </t>
  </si>
  <si>
    <t>Přesuny sutí</t>
  </si>
  <si>
    <t>Svislá doprava suti a vybour. hmot za 2.NP a 1.PP</t>
  </si>
  <si>
    <t>63,63521;viz hmotnost;   </t>
  </si>
  <si>
    <t>Příplatek za každé další podlaží</t>
  </si>
  <si>
    <t>Vodorovná doprava suti po suchu do 50 m</t>
  </si>
  <si>
    <t>Nakládání vybour.hmot na doprav.prostředky</t>
  </si>
  <si>
    <t>Odvoz suti a vybour. hmot na skládku do 1 km</t>
  </si>
  <si>
    <t>Příplatek k odvozu za každý další 1 km</t>
  </si>
  <si>
    <t>63,63521*19;viz hmotnost-odvoz celkem do 20km;   </t>
  </si>
  <si>
    <t>Poplatek za skládku</t>
  </si>
  <si>
    <t>Doba výstavby:</t>
  </si>
  <si>
    <t>Začátek výstavby:</t>
  </si>
  <si>
    <t>Konec výstavby:</t>
  </si>
  <si>
    <t>Zpracováno dne:</t>
  </si>
  <si>
    <t>27.11.2020</t>
  </si>
  <si>
    <t>MJ</t>
  </si>
  <si>
    <t>kompl</t>
  </si>
  <si>
    <t>m2</t>
  </si>
  <si>
    <t>m</t>
  </si>
  <si>
    <t>kus</t>
  </si>
  <si>
    <t>kg</t>
  </si>
  <si>
    <t>t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</si>
  <si>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</si>
  <si>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</si>
  <si>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</si>
  <si>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</si>
  <si>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</si>
  <si>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</si>
  <si>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</si>
  <si>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Město Budyně nad Ohří, Mírové náměstí 65, 41118 Bu</t>
  </si>
  <si>
    <t>Kamila Možná</t>
  </si>
  <si>
    <t> </t>
  </si>
  <si>
    <t>Náklady (Kč)</t>
  </si>
  <si>
    <t>Dodávka</t>
  </si>
  <si>
    <t>Celkem:</t>
  </si>
  <si>
    <t>Montáž</t>
  </si>
  <si>
    <t>Celkem</t>
  </si>
  <si>
    <t>Cenová</t>
  </si>
  <si>
    <t>soustava</t>
  </si>
  <si>
    <t>RTS II / 2020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</si>
  <si>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</si>
  <si>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</si>
  <si>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</si>
  <si>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</si>
  <si>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</si>
  <si>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</si>
  <si>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</si>
  <si>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</si>
  <si>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</si>
  <si>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0_</t>
  </si>
  <si>
    <t>11_</t>
  </si>
  <si>
    <t>21_</t>
  </si>
  <si>
    <t>59_</t>
  </si>
  <si>
    <t>61_</t>
  </si>
  <si>
    <t>62_</t>
  </si>
  <si>
    <t>713_</t>
  </si>
  <si>
    <t>721_</t>
  </si>
  <si>
    <t>762_</t>
  </si>
  <si>
    <t>764_</t>
  </si>
  <si>
    <t>766_</t>
  </si>
  <si>
    <t>767_</t>
  </si>
  <si>
    <t>784_</t>
  </si>
  <si>
    <t>91_</t>
  </si>
  <si>
    <t>94_</t>
  </si>
  <si>
    <t>95_</t>
  </si>
  <si>
    <t>96_</t>
  </si>
  <si>
    <t>97_</t>
  </si>
  <si>
    <t>H99_</t>
  </si>
  <si>
    <t>M46_</t>
  </si>
  <si>
    <t>S_</t>
  </si>
  <si>
    <t>1_</t>
  </si>
  <si>
    <t>2_</t>
  </si>
  <si>
    <t>5_</t>
  </si>
  <si>
    <t>6_</t>
  </si>
  <si>
    <t>71_</t>
  </si>
  <si>
    <t>72_</t>
  </si>
  <si>
    <t>76_</t>
  </si>
  <si>
    <t>78_</t>
  </si>
  <si>
    <t>9_</t>
  </si>
  <si>
    <t>_</t>
  </si>
  <si>
    <t>MAT</t>
  </si>
  <si>
    <t>WORK</t>
  </si>
  <si>
    <t>CELK</t>
  </si>
  <si>
    <t>ISWORK</t>
  </si>
  <si>
    <t>P</t>
  </si>
  <si>
    <t>M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</si>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</sst>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4" fillId="2" borderId="13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8" fillId="2" borderId="14" xfId="0" applyNumberFormat="1" applyFont="1" applyFill="1" applyBorder="1" applyAlignment="1" applyProtection="1">
      <alignment horizontal="right" vertical="center"/>
    </xf>
    <xf numFmtId="49" fontId="5" fillId="0" borderId="25" xfId="0" applyNumberFormat="1" applyFont="1" applyFill="1" applyBorder="1" applyAlignment="1" applyProtection="1">
      <alignment horizontal="right" vertical="center"/>
    </xf>
    <xf numFmtId="0" fontId="1" fillId="0" borderId="25" xfId="0" applyNumberFormat="1" applyFont="1" applyFill="1" applyBorder="1" applyAlignment="1" applyProtection="1">
      <alignment vertical="center"/>
    </xf>
    <xf numFmtId="49" fontId="8" fillId="2" borderId="25" xfId="0" applyNumberFormat="1" applyFont="1" applyFill="1" applyBorder="1" applyAlignment="1" applyProtection="1">
      <alignment horizontal="right" vertical="center"/>
    </xf>
    <xf numFmtId="49" fontId="6" fillId="0" borderId="25" xfId="0" applyNumberFormat="1" applyFont="1" applyFill="1" applyBorder="1" applyAlignment="1" applyProtection="1">
      <alignment horizontal="right" vertical="center"/>
    </xf>
    <xf numFmtId="0" fontId="1" fillId="0" borderId="28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" fontId="8" fillId="2" borderId="13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9" xfId="0" applyNumberFormat="1" applyFont="1" applyFill="1" applyBorder="1" applyAlignment="1" applyProtection="1">
      <alignment horizontal="right" vertical="center"/>
    </xf>
    <xf numFmtId="49" fontId="11" fillId="3" borderId="31" xfId="0" applyNumberFormat="1" applyFont="1" applyFill="1" applyBorder="1" applyAlignment="1" applyProtection="1">
      <alignment horizontal="center" vertical="center"/>
    </xf>
    <xf numFmtId="49" fontId="12" fillId="0" borderId="32" xfId="0" applyNumberFormat="1" applyFont="1" applyFill="1" applyBorder="1" applyAlignment="1" applyProtection="1">
      <alignment horizontal="left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1" fillId="0" borderId="35" xfId="0" applyNumberFormat="1" applyFont="1" applyFill="1" applyBorder="1" applyAlignment="1" applyProtection="1">
      <alignment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49" fontId="13" fillId="0" borderId="31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4" fontId="13" fillId="0" borderId="31" xfId="0" applyNumberFormat="1" applyFont="1" applyFill="1" applyBorder="1" applyAlignment="1" applyProtection="1">
      <alignment horizontal="right" vertical="center"/>
    </xf>
    <xf numFmtId="49" fontId="13" fillId="0" borderId="31" xfId="0" applyNumberFormat="1" applyFont="1" applyFill="1" applyBorder="1" applyAlignment="1" applyProtection="1">
      <alignment horizontal="right" vertical="center"/>
    </xf>
    <xf numFmtId="4" fontId="13" fillId="0" borderId="21" xfId="0" applyNumberFormat="1" applyFont="1" applyFill="1" applyBorder="1" applyAlignment="1" applyProtection="1">
      <alignment horizontal="right" vertical="center"/>
    </xf>
    <xf numFmtId="0" fontId="1" fillId="0" borderId="14" xfId="0" applyNumberFormat="1" applyFont="1" applyFill="1" applyBorder="1" applyAlignment="1" applyProtection="1">
      <alignment vertical="center"/>
    </xf>
    <xf numFmtId="0" fontId="1" fillId="0" borderId="34" xfId="0" applyNumberFormat="1" applyFont="1" applyFill="1" applyBorder="1" applyAlignment="1" applyProtection="1">
      <alignment vertical="center"/>
    </xf>
    <xf numFmtId="4" fontId="12" fillId="3" borderId="38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" fontId="6" fillId="4" borderId="0" xfId="0" applyNumberFormat="1" applyFont="1" applyFill="1" applyBorder="1" applyAlignment="1" applyProtection="1">
      <alignment horizontal="right" vertical="center"/>
    </xf>
    <xf numFmtId="4" fontId="5" fillId="5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0" fontId="8" fillId="2" borderId="13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 wrapText="1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10" fillId="0" borderId="30" xfId="0" applyNumberFormat="1" applyFont="1" applyFill="1" applyBorder="1" applyAlignment="1" applyProtection="1">
      <alignment horizontal="center" vertical="center"/>
    </xf>
    <xf numFmtId="0" fontId="10" fillId="0" borderId="30" xfId="0" applyNumberFormat="1" applyFont="1" applyFill="1" applyBorder="1" applyAlignment="1" applyProtection="1">
      <alignment horizontal="center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  <xf numFmtId="49" fontId="13" fillId="0" borderId="34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2" fillId="0" borderId="34" xfId="0" applyNumberFormat="1" applyFont="1" applyFill="1" applyBorder="1" applyAlignment="1" applyProtection="1">
      <alignment horizontal="left" vertical="center"/>
    </xf>
    <xf numFmtId="0" fontId="12" fillId="0" borderId="38" xfId="0" applyNumberFormat="1" applyFont="1" applyFill="1" applyBorder="1" applyAlignment="1" applyProtection="1">
      <alignment horizontal="left" vertical="center"/>
    </xf>
    <xf numFmtId="49" fontId="12" fillId="3" borderId="34" xfId="0" applyNumberFormat="1" applyFont="1" applyFill="1" applyBorder="1" applyAlignment="1" applyProtection="1">
      <alignment horizontal="left" vertical="center"/>
    </xf>
    <xf numFmtId="0" fontId="12" fillId="3" borderId="30" xfId="0" applyNumberFormat="1" applyFont="1" applyFill="1" applyBorder="1" applyAlignment="1" applyProtection="1">
      <alignment horizontal="left" vertical="center"/>
    </xf>
    <xf numFmtId="49" fontId="13" fillId="0" borderId="36" xfId="0" applyNumberFormat="1" applyFont="1" applyFill="1" applyBorder="1" applyAlignment="1" applyProtection="1">
      <alignment horizontal="left" vertical="center"/>
    </xf>
    <xf numFmtId="0" fontId="13" fillId="0" borderId="13" xfId="0" applyNumberFormat="1" applyFont="1" applyFill="1" applyBorder="1" applyAlignment="1" applyProtection="1">
      <alignment horizontal="left" vertical="center"/>
    </xf>
    <xf numFmtId="0" fontId="13" fillId="0" borderId="39" xfId="0" applyNumberFormat="1" applyFont="1" applyFill="1" applyBorder="1" applyAlignment="1" applyProtection="1">
      <alignment horizontal="left" vertical="center"/>
    </xf>
    <xf numFmtId="49" fontId="13" fillId="0" borderId="29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40" xfId="0" applyNumberFormat="1" applyFont="1" applyFill="1" applyBorder="1" applyAlignment="1" applyProtection="1">
      <alignment horizontal="left" vertical="center"/>
    </xf>
    <xf numFmtId="49" fontId="13" fillId="0" borderId="37" xfId="0" applyNumberFormat="1" applyFont="1" applyFill="1" applyBorder="1" applyAlignment="1" applyProtection="1">
      <alignment horizontal="left" vertical="center"/>
    </xf>
    <xf numFmtId="0" fontId="13" fillId="0" borderId="10" xfId="0" applyNumberFormat="1" applyFont="1" applyFill="1" applyBorder="1" applyAlignment="1" applyProtection="1">
      <alignment horizontal="left" vertical="center"/>
    </xf>
    <xf numFmtId="0" fontId="13" fillId="0" borderId="41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306"/>
  <sheetViews>
    <sheetView tabSelected="1" workbookViewId="0">
      <pane ySplit="11" topLeftCell="A207" activePane="bottomLeft" state="frozenSplit"/>
      <selection pane="bottomLeft" activeCell="N7" sqref="N7:O7"/>
    </sheetView>
  </sheetViews>
  <sheetFormatPr defaultColWidth="11.5546875" defaultRowHeight="13.2" x14ac:dyDescent="0.25"/>
  <cols>
    <col min="1" max="1" width="3.6640625" customWidth="1"/>
    <col min="2" max="2" width="14.33203125" customWidth="1"/>
    <col min="3" max="3" width="69.88671875" customWidth="1"/>
    <col min="6" max="6" width="5.88671875" customWidth="1"/>
    <col min="7" max="7" width="12.88671875" customWidth="1"/>
    <col min="8" max="8" width="12" customWidth="1"/>
    <col min="9" max="11" width="14.33203125" customWidth="1"/>
    <col min="12" max="12" width="11.6640625" customWidth="1"/>
    <col min="25" max="64" width="12.109375" hidden="1" customWidth="1"/>
  </cols>
  <sheetData>
    <row r="1" spans="1:64" ht="72.900000000000006" customHeight="1" x14ac:dyDescent="0.4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64" x14ac:dyDescent="0.25">
      <c r="A2" s="73" t="s">
        <v>1</v>
      </c>
      <c r="B2" s="74"/>
      <c r="C2" s="75" t="s">
        <v>211</v>
      </c>
      <c r="D2" s="77" t="s">
        <v>488</v>
      </c>
      <c r="E2" s="74"/>
      <c r="F2" s="77" t="s">
        <v>6</v>
      </c>
      <c r="G2" s="74"/>
      <c r="H2" s="78" t="s">
        <v>501</v>
      </c>
      <c r="I2" s="78" t="s">
        <v>507</v>
      </c>
      <c r="J2" s="74"/>
      <c r="K2" s="74"/>
      <c r="L2" s="79"/>
      <c r="M2" s="5"/>
    </row>
    <row r="3" spans="1:64" x14ac:dyDescent="0.25">
      <c r="A3" s="67"/>
      <c r="B3" s="66"/>
      <c r="C3" s="76"/>
      <c r="D3" s="66"/>
      <c r="E3" s="66"/>
      <c r="F3" s="66"/>
      <c r="G3" s="66"/>
      <c r="H3" s="66"/>
      <c r="I3" s="66"/>
      <c r="J3" s="66"/>
      <c r="K3" s="66"/>
      <c r="L3" s="70"/>
      <c r="M3" s="5"/>
    </row>
    <row r="4" spans="1:64" x14ac:dyDescent="0.25">
      <c r="A4" s="65" t="s">
        <v>2</v>
      </c>
      <c r="B4" s="66"/>
      <c r="C4" s="68" t="s">
        <v>212</v>
      </c>
      <c r="D4" s="69" t="s">
        <v>489</v>
      </c>
      <c r="E4" s="66"/>
      <c r="F4" s="69" t="s">
        <v>6</v>
      </c>
      <c r="G4" s="66"/>
      <c r="H4" s="68" t="s">
        <v>502</v>
      </c>
      <c r="I4" s="68" t="s">
        <v>508</v>
      </c>
      <c r="J4" s="66"/>
      <c r="K4" s="66"/>
      <c r="L4" s="70"/>
      <c r="M4" s="5"/>
    </row>
    <row r="5" spans="1:64" x14ac:dyDescent="0.25">
      <c r="A5" s="67"/>
      <c r="B5" s="66"/>
      <c r="C5" s="66"/>
      <c r="D5" s="66"/>
      <c r="E5" s="66"/>
      <c r="F5" s="66"/>
      <c r="G5" s="66"/>
      <c r="H5" s="66"/>
      <c r="I5" s="66"/>
      <c r="J5" s="66"/>
      <c r="K5" s="66"/>
      <c r="L5" s="70"/>
      <c r="M5" s="5"/>
    </row>
    <row r="6" spans="1:64" x14ac:dyDescent="0.25">
      <c r="A6" s="65" t="s">
        <v>3</v>
      </c>
      <c r="B6" s="66"/>
      <c r="C6" s="68" t="s">
        <v>213</v>
      </c>
      <c r="D6" s="69" t="s">
        <v>490</v>
      </c>
      <c r="E6" s="66"/>
      <c r="F6" s="69" t="s">
        <v>6</v>
      </c>
      <c r="G6" s="66"/>
      <c r="H6" s="68" t="s">
        <v>503</v>
      </c>
      <c r="I6" s="69" t="s">
        <v>509</v>
      </c>
      <c r="J6" s="66"/>
      <c r="K6" s="66"/>
      <c r="L6" s="70"/>
      <c r="M6" s="5"/>
    </row>
    <row r="7" spans="1:64" x14ac:dyDescent="0.25">
      <c r="A7" s="67"/>
      <c r="B7" s="66"/>
      <c r="C7" s="66"/>
      <c r="D7" s="66"/>
      <c r="E7" s="66"/>
      <c r="F7" s="66"/>
      <c r="G7" s="66"/>
      <c r="H7" s="66"/>
      <c r="I7" s="66"/>
      <c r="J7" s="66"/>
      <c r="K7" s="66"/>
      <c r="L7" s="70"/>
      <c r="M7" s="5"/>
      <c r="N7" s="132"/>
      <c r="O7" s="132"/>
    </row>
    <row r="8" spans="1:64" x14ac:dyDescent="0.25">
      <c r="A8" s="65" t="s">
        <v>4</v>
      </c>
      <c r="B8" s="66"/>
      <c r="C8" s="68" t="s">
        <v>6</v>
      </c>
      <c r="D8" s="69" t="s">
        <v>491</v>
      </c>
      <c r="E8" s="66"/>
      <c r="F8" s="69" t="s">
        <v>492</v>
      </c>
      <c r="G8" s="66"/>
      <c r="H8" s="68" t="s">
        <v>504</v>
      </c>
      <c r="I8" s="68" t="s">
        <v>508</v>
      </c>
      <c r="J8" s="66"/>
      <c r="K8" s="66"/>
      <c r="L8" s="70"/>
      <c r="M8" s="5"/>
    </row>
    <row r="9" spans="1:64" x14ac:dyDescent="0.25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  <c r="L9" s="82"/>
      <c r="M9" s="5"/>
    </row>
    <row r="10" spans="1:64" x14ac:dyDescent="0.25">
      <c r="A10" s="1" t="s">
        <v>5</v>
      </c>
      <c r="B10" s="11" t="s">
        <v>102</v>
      </c>
      <c r="C10" s="89" t="s">
        <v>214</v>
      </c>
      <c r="D10" s="90"/>
      <c r="E10" s="91"/>
      <c r="F10" s="11" t="s">
        <v>493</v>
      </c>
      <c r="G10" s="20" t="s">
        <v>500</v>
      </c>
      <c r="H10" s="25" t="s">
        <v>505</v>
      </c>
      <c r="I10" s="92" t="s">
        <v>510</v>
      </c>
      <c r="J10" s="93"/>
      <c r="K10" s="94"/>
      <c r="L10" s="30" t="s">
        <v>515</v>
      </c>
      <c r="M10" s="38"/>
      <c r="BK10" s="39" t="s">
        <v>561</v>
      </c>
      <c r="BL10" s="44" t="s">
        <v>564</v>
      </c>
    </row>
    <row r="11" spans="1:64" x14ac:dyDescent="0.25">
      <c r="A11" s="2" t="s">
        <v>6</v>
      </c>
      <c r="B11" s="12" t="s">
        <v>6</v>
      </c>
      <c r="C11" s="95" t="s">
        <v>215</v>
      </c>
      <c r="D11" s="96"/>
      <c r="E11" s="97"/>
      <c r="F11" s="12" t="s">
        <v>6</v>
      </c>
      <c r="G11" s="12" t="s">
        <v>6</v>
      </c>
      <c r="H11" s="26" t="s">
        <v>506</v>
      </c>
      <c r="I11" s="27" t="s">
        <v>511</v>
      </c>
      <c r="J11" s="28" t="s">
        <v>513</v>
      </c>
      <c r="K11" s="29" t="s">
        <v>514</v>
      </c>
      <c r="L11" s="31" t="s">
        <v>516</v>
      </c>
      <c r="M11" s="38"/>
      <c r="Z11" s="39" t="s">
        <v>518</v>
      </c>
      <c r="AA11" s="39" t="s">
        <v>519</v>
      </c>
      <c r="AB11" s="39" t="s">
        <v>520</v>
      </c>
      <c r="AC11" s="39" t="s">
        <v>521</v>
      </c>
      <c r="AD11" s="39" t="s">
        <v>522</v>
      </c>
      <c r="AE11" s="39" t="s">
        <v>523</v>
      </c>
      <c r="AF11" s="39" t="s">
        <v>524</v>
      </c>
      <c r="AG11" s="39" t="s">
        <v>525</v>
      </c>
      <c r="AH11" s="39" t="s">
        <v>526</v>
      </c>
      <c r="BH11" s="39" t="s">
        <v>558</v>
      </c>
      <c r="BI11" s="39" t="s">
        <v>559</v>
      </c>
      <c r="BJ11" s="39" t="s">
        <v>560</v>
      </c>
    </row>
    <row r="12" spans="1:64" x14ac:dyDescent="0.25">
      <c r="A12" s="3"/>
      <c r="B12" s="13" t="s">
        <v>103</v>
      </c>
      <c r="C12" s="98" t="s">
        <v>216</v>
      </c>
      <c r="D12" s="99"/>
      <c r="E12" s="99"/>
      <c r="F12" s="18" t="s">
        <v>6</v>
      </c>
      <c r="G12" s="18" t="s">
        <v>6</v>
      </c>
      <c r="H12" s="18" t="s">
        <v>6</v>
      </c>
      <c r="I12" s="45">
        <f>SUM(I13:I13)</f>
        <v>0</v>
      </c>
      <c r="J12" s="45">
        <f>SUM(J13:J13)</f>
        <v>0</v>
      </c>
      <c r="K12" s="45">
        <f>SUM(K13:K13)</f>
        <v>0</v>
      </c>
      <c r="L12" s="32"/>
      <c r="M12" s="5"/>
      <c r="AI12" s="39"/>
      <c r="AS12" s="46">
        <f>SUM(AJ13:AJ13)</f>
        <v>0</v>
      </c>
      <c r="AT12" s="46">
        <f>SUM(AK13:AK13)</f>
        <v>0</v>
      </c>
      <c r="AU12" s="46">
        <f>SUM(AL13:AL13)</f>
        <v>0</v>
      </c>
    </row>
    <row r="13" spans="1:64" x14ac:dyDescent="0.25">
      <c r="A13" s="4" t="s">
        <v>7</v>
      </c>
      <c r="B13" s="14" t="s">
        <v>104</v>
      </c>
      <c r="C13" s="85" t="s">
        <v>217</v>
      </c>
      <c r="D13" s="86"/>
      <c r="E13" s="86"/>
      <c r="F13" s="14" t="s">
        <v>494</v>
      </c>
      <c r="G13" s="21">
        <v>1</v>
      </c>
      <c r="H13" s="21">
        <v>0</v>
      </c>
      <c r="I13" s="21">
        <f>G13*AO13</f>
        <v>0</v>
      </c>
      <c r="J13" s="21">
        <f>G13*AP13</f>
        <v>0</v>
      </c>
      <c r="K13" s="21">
        <f>G13*H13</f>
        <v>0</v>
      </c>
      <c r="L13" s="33"/>
      <c r="M13" s="5"/>
      <c r="Z13" s="40">
        <f>IF(AQ13="5",BJ13,0)</f>
        <v>0</v>
      </c>
      <c r="AB13" s="40">
        <f>IF(AQ13="1",BH13,0)</f>
        <v>0</v>
      </c>
      <c r="AC13" s="40">
        <f>IF(AQ13="1",BI13,0)</f>
        <v>0</v>
      </c>
      <c r="AD13" s="40">
        <f>IF(AQ13="7",BH13,0)</f>
        <v>0</v>
      </c>
      <c r="AE13" s="40">
        <f>IF(AQ13="7",BI13,0)</f>
        <v>0</v>
      </c>
      <c r="AF13" s="40">
        <f>IF(AQ13="2",BH13,0)</f>
        <v>0</v>
      </c>
      <c r="AG13" s="40">
        <f>IF(AQ13="2",BI13,0)</f>
        <v>0</v>
      </c>
      <c r="AH13" s="40">
        <f>IF(AQ13="0",BJ13,0)</f>
        <v>0</v>
      </c>
      <c r="AI13" s="39"/>
      <c r="AJ13" s="21">
        <f>IF(AN13=0,K13,0)</f>
        <v>0</v>
      </c>
      <c r="AK13" s="21">
        <f>IF(AN13=15,K13,0)</f>
        <v>0</v>
      </c>
      <c r="AL13" s="21">
        <f>IF(AN13=21,K13,0)</f>
        <v>0</v>
      </c>
      <c r="AN13" s="40">
        <v>15</v>
      </c>
      <c r="AO13" s="40">
        <f>H13*0.75</f>
        <v>0</v>
      </c>
      <c r="AP13" s="40">
        <f>H13*(1-0.75)</f>
        <v>0</v>
      </c>
      <c r="AQ13" s="41" t="s">
        <v>7</v>
      </c>
      <c r="AV13" s="40">
        <f>AW13+AX13</f>
        <v>0</v>
      </c>
      <c r="AW13" s="40">
        <f>G13*AO13</f>
        <v>0</v>
      </c>
      <c r="AX13" s="40">
        <f>G13*AP13</f>
        <v>0</v>
      </c>
      <c r="AY13" s="43" t="s">
        <v>527</v>
      </c>
      <c r="AZ13" s="43" t="s">
        <v>527</v>
      </c>
      <c r="BA13" s="39" t="s">
        <v>557</v>
      </c>
      <c r="BC13" s="40">
        <f>AW13+AX13</f>
        <v>0</v>
      </c>
      <c r="BD13" s="40">
        <f>H13/(100-BE13)*100</f>
        <v>0</v>
      </c>
      <c r="BE13" s="40">
        <v>0</v>
      </c>
      <c r="BF13" s="40">
        <f>13</f>
        <v>13</v>
      </c>
      <c r="BH13" s="21">
        <f>G13*AO13</f>
        <v>0</v>
      </c>
      <c r="BI13" s="21">
        <f>G13*AP13</f>
        <v>0</v>
      </c>
      <c r="BJ13" s="21">
        <f>G13*H13</f>
        <v>0</v>
      </c>
      <c r="BK13" s="21" t="s">
        <v>562</v>
      </c>
      <c r="BL13" s="40">
        <v>0</v>
      </c>
    </row>
    <row r="14" spans="1:64" x14ac:dyDescent="0.25">
      <c r="A14" s="5"/>
      <c r="C14" s="87" t="s">
        <v>218</v>
      </c>
      <c r="D14" s="88"/>
      <c r="E14" s="88"/>
      <c r="G14" s="22">
        <v>1</v>
      </c>
      <c r="L14" s="34"/>
      <c r="M14" s="5"/>
    </row>
    <row r="15" spans="1:64" x14ac:dyDescent="0.25">
      <c r="A15" s="6"/>
      <c r="B15" s="15" t="s">
        <v>17</v>
      </c>
      <c r="C15" s="83" t="s">
        <v>219</v>
      </c>
      <c r="D15" s="84"/>
      <c r="E15" s="84"/>
      <c r="F15" s="19" t="s">
        <v>6</v>
      </c>
      <c r="G15" s="19" t="s">
        <v>6</v>
      </c>
      <c r="H15" s="19" t="s">
        <v>6</v>
      </c>
      <c r="I15" s="46">
        <f>SUM(I16:I20)</f>
        <v>0</v>
      </c>
      <c r="J15" s="46">
        <f>SUM(J16:J20)</f>
        <v>0</v>
      </c>
      <c r="K15" s="46">
        <f>SUM(K16:K20)</f>
        <v>0</v>
      </c>
      <c r="L15" s="35"/>
      <c r="M15" s="5"/>
      <c r="AI15" s="39"/>
      <c r="AS15" s="46">
        <f>SUM(AJ16:AJ20)</f>
        <v>0</v>
      </c>
      <c r="AT15" s="46">
        <f>SUM(AK16:AK20)</f>
        <v>0</v>
      </c>
      <c r="AU15" s="46">
        <f>SUM(AL16:AL20)</f>
        <v>0</v>
      </c>
    </row>
    <row r="16" spans="1:64" x14ac:dyDescent="0.25">
      <c r="A16" s="4" t="s">
        <v>8</v>
      </c>
      <c r="B16" s="14" t="s">
        <v>105</v>
      </c>
      <c r="C16" s="85" t="s">
        <v>220</v>
      </c>
      <c r="D16" s="86"/>
      <c r="E16" s="86"/>
      <c r="F16" s="14" t="s">
        <v>495</v>
      </c>
      <c r="G16" s="21">
        <v>3.2</v>
      </c>
      <c r="H16" s="21">
        <v>0</v>
      </c>
      <c r="I16" s="21">
        <f>G16*AO16</f>
        <v>0</v>
      </c>
      <c r="J16" s="21">
        <f>G16*AP16</f>
        <v>0</v>
      </c>
      <c r="K16" s="21">
        <f>G16*H16</f>
        <v>0</v>
      </c>
      <c r="L16" s="33" t="s">
        <v>517</v>
      </c>
      <c r="M16" s="5"/>
      <c r="Z16" s="40">
        <f>IF(AQ16="5",BJ16,0)</f>
        <v>0</v>
      </c>
      <c r="AB16" s="40">
        <f>IF(AQ16="1",BH16,0)</f>
        <v>0</v>
      </c>
      <c r="AC16" s="40">
        <f>IF(AQ16="1",BI16,0)</f>
        <v>0</v>
      </c>
      <c r="AD16" s="40">
        <f>IF(AQ16="7",BH16,0)</f>
        <v>0</v>
      </c>
      <c r="AE16" s="40">
        <f>IF(AQ16="7",BI16,0)</f>
        <v>0</v>
      </c>
      <c r="AF16" s="40">
        <f>IF(AQ16="2",BH16,0)</f>
        <v>0</v>
      </c>
      <c r="AG16" s="40">
        <f>IF(AQ16="2",BI16,0)</f>
        <v>0</v>
      </c>
      <c r="AH16" s="40">
        <f>IF(AQ16="0",BJ16,0)</f>
        <v>0</v>
      </c>
      <c r="AI16" s="39"/>
      <c r="AJ16" s="21">
        <f>IF(AN16=0,K16,0)</f>
        <v>0</v>
      </c>
      <c r="AK16" s="21">
        <f>IF(AN16=15,K16,0)</f>
        <v>0</v>
      </c>
      <c r="AL16" s="21">
        <f>IF(AN16=21,K16,0)</f>
        <v>0</v>
      </c>
      <c r="AN16" s="40">
        <v>15</v>
      </c>
      <c r="AO16" s="40">
        <f>H16*0.0100417861141299</f>
        <v>0</v>
      </c>
      <c r="AP16" s="40">
        <f>H16*(1-0.0100417861141299)</f>
        <v>0</v>
      </c>
      <c r="AQ16" s="41" t="s">
        <v>7</v>
      </c>
      <c r="AV16" s="40">
        <f>AW16+AX16</f>
        <v>0</v>
      </c>
      <c r="AW16" s="40">
        <f>G16*AO16</f>
        <v>0</v>
      </c>
      <c r="AX16" s="40">
        <f>G16*AP16</f>
        <v>0</v>
      </c>
      <c r="AY16" s="43" t="s">
        <v>528</v>
      </c>
      <c r="AZ16" s="43" t="s">
        <v>548</v>
      </c>
      <c r="BA16" s="39" t="s">
        <v>557</v>
      </c>
      <c r="BC16" s="40">
        <f>AW16+AX16</f>
        <v>0</v>
      </c>
      <c r="BD16" s="40">
        <f>H16/(100-BE16)*100</f>
        <v>0</v>
      </c>
      <c r="BE16" s="40">
        <v>0</v>
      </c>
      <c r="BF16" s="40">
        <f>16</f>
        <v>16</v>
      </c>
      <c r="BH16" s="21">
        <f>G16*AO16</f>
        <v>0</v>
      </c>
      <c r="BI16" s="21">
        <f>G16*AP16</f>
        <v>0</v>
      </c>
      <c r="BJ16" s="21">
        <f>G16*H16</f>
        <v>0</v>
      </c>
      <c r="BK16" s="21" t="s">
        <v>562</v>
      </c>
      <c r="BL16" s="40">
        <v>11</v>
      </c>
    </row>
    <row r="17" spans="1:64" x14ac:dyDescent="0.25">
      <c r="A17" s="5"/>
      <c r="C17" s="87" t="s">
        <v>221</v>
      </c>
      <c r="D17" s="88"/>
      <c r="E17" s="88"/>
      <c r="G17" s="22">
        <v>3.2</v>
      </c>
      <c r="L17" s="34"/>
      <c r="M17" s="5"/>
    </row>
    <row r="18" spans="1:64" x14ac:dyDescent="0.25">
      <c r="A18" s="4" t="s">
        <v>9</v>
      </c>
      <c r="B18" s="14" t="s">
        <v>106</v>
      </c>
      <c r="C18" s="85" t="s">
        <v>222</v>
      </c>
      <c r="D18" s="86"/>
      <c r="E18" s="86"/>
      <c r="F18" s="14" t="s">
        <v>495</v>
      </c>
      <c r="G18" s="21">
        <v>45</v>
      </c>
      <c r="H18" s="21">
        <v>0</v>
      </c>
      <c r="I18" s="21">
        <f>G18*AO18</f>
        <v>0</v>
      </c>
      <c r="J18" s="21">
        <f>G18*AP18</f>
        <v>0</v>
      </c>
      <c r="K18" s="21">
        <f>G18*H18</f>
        <v>0</v>
      </c>
      <c r="L18" s="33" t="s">
        <v>517</v>
      </c>
      <c r="M18" s="5"/>
      <c r="Z18" s="40">
        <f>IF(AQ18="5",BJ18,0)</f>
        <v>0</v>
      </c>
      <c r="AB18" s="40">
        <f>IF(AQ18="1",BH18,0)</f>
        <v>0</v>
      </c>
      <c r="AC18" s="40">
        <f>IF(AQ18="1",BI18,0)</f>
        <v>0</v>
      </c>
      <c r="AD18" s="40">
        <f>IF(AQ18="7",BH18,0)</f>
        <v>0</v>
      </c>
      <c r="AE18" s="40">
        <f>IF(AQ18="7",BI18,0)</f>
        <v>0</v>
      </c>
      <c r="AF18" s="40">
        <f>IF(AQ18="2",BH18,0)</f>
        <v>0</v>
      </c>
      <c r="AG18" s="40">
        <f>IF(AQ18="2",BI18,0)</f>
        <v>0</v>
      </c>
      <c r="AH18" s="40">
        <f>IF(AQ18="0",BJ18,0)</f>
        <v>0</v>
      </c>
      <c r="AI18" s="39"/>
      <c r="AJ18" s="21">
        <f>IF(AN18=0,K18,0)</f>
        <v>0</v>
      </c>
      <c r="AK18" s="21">
        <f>IF(AN18=15,K18,0)</f>
        <v>0</v>
      </c>
      <c r="AL18" s="21">
        <f>IF(AN18=21,K18,0)</f>
        <v>0</v>
      </c>
      <c r="AN18" s="40">
        <v>15</v>
      </c>
      <c r="AO18" s="40">
        <f>H18*0</f>
        <v>0</v>
      </c>
      <c r="AP18" s="40">
        <f>H18*(1-0)</f>
        <v>0</v>
      </c>
      <c r="AQ18" s="41" t="s">
        <v>7</v>
      </c>
      <c r="AV18" s="40">
        <f>AW18+AX18</f>
        <v>0</v>
      </c>
      <c r="AW18" s="40">
        <f>G18*AO18</f>
        <v>0</v>
      </c>
      <c r="AX18" s="40">
        <f>G18*AP18</f>
        <v>0</v>
      </c>
      <c r="AY18" s="43" t="s">
        <v>528</v>
      </c>
      <c r="AZ18" s="43" t="s">
        <v>548</v>
      </c>
      <c r="BA18" s="39" t="s">
        <v>557</v>
      </c>
      <c r="BC18" s="40">
        <f>AW18+AX18</f>
        <v>0</v>
      </c>
      <c r="BD18" s="40">
        <f>H18/(100-BE18)*100</f>
        <v>0</v>
      </c>
      <c r="BE18" s="40">
        <v>0</v>
      </c>
      <c r="BF18" s="40">
        <f>18</f>
        <v>18</v>
      </c>
      <c r="BH18" s="21">
        <f>G18*AO18</f>
        <v>0</v>
      </c>
      <c r="BI18" s="21">
        <f>G18*AP18</f>
        <v>0</v>
      </c>
      <c r="BJ18" s="21">
        <f>G18*H18</f>
        <v>0</v>
      </c>
      <c r="BK18" s="21" t="s">
        <v>562</v>
      </c>
      <c r="BL18" s="40">
        <v>11</v>
      </c>
    </row>
    <row r="19" spans="1:64" x14ac:dyDescent="0.25">
      <c r="A19" s="5"/>
      <c r="C19" s="87" t="s">
        <v>223</v>
      </c>
      <c r="D19" s="88"/>
      <c r="E19" s="88"/>
      <c r="G19" s="22">
        <v>45</v>
      </c>
      <c r="L19" s="34"/>
      <c r="M19" s="5"/>
    </row>
    <row r="20" spans="1:64" x14ac:dyDescent="0.25">
      <c r="A20" s="4" t="s">
        <v>10</v>
      </c>
      <c r="B20" s="14" t="s">
        <v>107</v>
      </c>
      <c r="C20" s="85" t="s">
        <v>224</v>
      </c>
      <c r="D20" s="86"/>
      <c r="E20" s="86"/>
      <c r="F20" s="14" t="s">
        <v>496</v>
      </c>
      <c r="G20" s="21">
        <v>90</v>
      </c>
      <c r="H20" s="21">
        <v>0</v>
      </c>
      <c r="I20" s="21">
        <f>G20*AO20</f>
        <v>0</v>
      </c>
      <c r="J20" s="21">
        <f>G20*AP20</f>
        <v>0</v>
      </c>
      <c r="K20" s="21">
        <f>G20*H20</f>
        <v>0</v>
      </c>
      <c r="L20" s="33" t="s">
        <v>517</v>
      </c>
      <c r="M20" s="5"/>
      <c r="Z20" s="40">
        <f>IF(AQ20="5",BJ20,0)</f>
        <v>0</v>
      </c>
      <c r="AB20" s="40">
        <f>IF(AQ20="1",BH20,0)</f>
        <v>0</v>
      </c>
      <c r="AC20" s="40">
        <f>IF(AQ20="1",BI20,0)</f>
        <v>0</v>
      </c>
      <c r="AD20" s="40">
        <f>IF(AQ20="7",BH20,0)</f>
        <v>0</v>
      </c>
      <c r="AE20" s="40">
        <f>IF(AQ20="7",BI20,0)</f>
        <v>0</v>
      </c>
      <c r="AF20" s="40">
        <f>IF(AQ20="2",BH20,0)</f>
        <v>0</v>
      </c>
      <c r="AG20" s="40">
        <f>IF(AQ20="2",BI20,0)</f>
        <v>0</v>
      </c>
      <c r="AH20" s="40">
        <f>IF(AQ20="0",BJ20,0)</f>
        <v>0</v>
      </c>
      <c r="AI20" s="39"/>
      <c r="AJ20" s="21">
        <f>IF(AN20=0,K20,0)</f>
        <v>0</v>
      </c>
      <c r="AK20" s="21">
        <f>IF(AN20=15,K20,0)</f>
        <v>0</v>
      </c>
      <c r="AL20" s="21">
        <f>IF(AN20=21,K20,0)</f>
        <v>0</v>
      </c>
      <c r="AN20" s="40">
        <v>15</v>
      </c>
      <c r="AO20" s="40">
        <f>H20*0</f>
        <v>0</v>
      </c>
      <c r="AP20" s="40">
        <f>H20*(1-0)</f>
        <v>0</v>
      </c>
      <c r="AQ20" s="41" t="s">
        <v>7</v>
      </c>
      <c r="AV20" s="40">
        <f>AW20+AX20</f>
        <v>0</v>
      </c>
      <c r="AW20" s="40">
        <f>G20*AO20</f>
        <v>0</v>
      </c>
      <c r="AX20" s="40">
        <f>G20*AP20</f>
        <v>0</v>
      </c>
      <c r="AY20" s="43" t="s">
        <v>528</v>
      </c>
      <c r="AZ20" s="43" t="s">
        <v>548</v>
      </c>
      <c r="BA20" s="39" t="s">
        <v>557</v>
      </c>
      <c r="BC20" s="40">
        <f>AW20+AX20</f>
        <v>0</v>
      </c>
      <c r="BD20" s="40">
        <f>H20/(100-BE20)*100</f>
        <v>0</v>
      </c>
      <c r="BE20" s="40">
        <v>0</v>
      </c>
      <c r="BF20" s="40">
        <f>20</f>
        <v>20</v>
      </c>
      <c r="BH20" s="21">
        <f>G20*AO20</f>
        <v>0</v>
      </c>
      <c r="BI20" s="21">
        <f>G20*AP20</f>
        <v>0</v>
      </c>
      <c r="BJ20" s="21">
        <f>G20*H20</f>
        <v>0</v>
      </c>
      <c r="BK20" s="21" t="s">
        <v>562</v>
      </c>
      <c r="BL20" s="40">
        <v>11</v>
      </c>
    </row>
    <row r="21" spans="1:64" x14ac:dyDescent="0.25">
      <c r="A21" s="5"/>
      <c r="C21" s="87" t="s">
        <v>225</v>
      </c>
      <c r="D21" s="88"/>
      <c r="E21" s="88"/>
      <c r="G21" s="22">
        <v>90</v>
      </c>
      <c r="L21" s="34"/>
      <c r="M21" s="5"/>
    </row>
    <row r="22" spans="1:64" x14ac:dyDescent="0.25">
      <c r="A22" s="6"/>
      <c r="B22" s="15" t="s">
        <v>27</v>
      </c>
      <c r="C22" s="83" t="s">
        <v>226</v>
      </c>
      <c r="D22" s="84"/>
      <c r="E22" s="84"/>
      <c r="F22" s="19" t="s">
        <v>6</v>
      </c>
      <c r="G22" s="19" t="s">
        <v>6</v>
      </c>
      <c r="H22" s="19" t="s">
        <v>6</v>
      </c>
      <c r="I22" s="46">
        <f>SUM(I23:I25)</f>
        <v>0</v>
      </c>
      <c r="J22" s="46">
        <f>SUM(J23:J25)</f>
        <v>0</v>
      </c>
      <c r="K22" s="46">
        <f>SUM(K23:K25)</f>
        <v>0</v>
      </c>
      <c r="L22" s="35"/>
      <c r="M22" s="5"/>
      <c r="AI22" s="39"/>
      <c r="AS22" s="46">
        <f>SUM(AJ23:AJ25)</f>
        <v>0</v>
      </c>
      <c r="AT22" s="46">
        <f>SUM(AK23:AK25)</f>
        <v>0</v>
      </c>
      <c r="AU22" s="46">
        <f>SUM(AL23:AL25)</f>
        <v>0</v>
      </c>
    </row>
    <row r="23" spans="1:64" x14ac:dyDescent="0.25">
      <c r="A23" s="4" t="s">
        <v>11</v>
      </c>
      <c r="B23" s="14" t="s">
        <v>108</v>
      </c>
      <c r="C23" s="85" t="s">
        <v>227</v>
      </c>
      <c r="D23" s="86"/>
      <c r="E23" s="86"/>
      <c r="F23" s="14" t="s">
        <v>497</v>
      </c>
      <c r="G23" s="21">
        <v>2</v>
      </c>
      <c r="H23" s="21">
        <v>0</v>
      </c>
      <c r="I23" s="21">
        <f>G23*AO23</f>
        <v>0</v>
      </c>
      <c r="J23" s="21">
        <f>G23*AP23</f>
        <v>0</v>
      </c>
      <c r="K23" s="21">
        <f>G23*H23</f>
        <v>0</v>
      </c>
      <c r="L23" s="33"/>
      <c r="M23" s="5"/>
      <c r="Z23" s="40">
        <f>IF(AQ23="5",BJ23,0)</f>
        <v>0</v>
      </c>
      <c r="AB23" s="40">
        <f>IF(AQ23="1",BH23,0)</f>
        <v>0</v>
      </c>
      <c r="AC23" s="40">
        <f>IF(AQ23="1",BI23,0)</f>
        <v>0</v>
      </c>
      <c r="AD23" s="40">
        <f>IF(AQ23="7",BH23,0)</f>
        <v>0</v>
      </c>
      <c r="AE23" s="40">
        <f>IF(AQ23="7",BI23,0)</f>
        <v>0</v>
      </c>
      <c r="AF23" s="40">
        <f>IF(AQ23="2",BH23,0)</f>
        <v>0</v>
      </c>
      <c r="AG23" s="40">
        <f>IF(AQ23="2",BI23,0)</f>
        <v>0</v>
      </c>
      <c r="AH23" s="40">
        <f>IF(AQ23="0",BJ23,0)</f>
        <v>0</v>
      </c>
      <c r="AI23" s="39"/>
      <c r="AJ23" s="21">
        <f>IF(AN23=0,K23,0)</f>
        <v>0</v>
      </c>
      <c r="AK23" s="21">
        <f>IF(AN23=15,K23,0)</f>
        <v>0</v>
      </c>
      <c r="AL23" s="21">
        <f>IF(AN23=21,K23,0)</f>
        <v>0</v>
      </c>
      <c r="AN23" s="40">
        <v>15</v>
      </c>
      <c r="AO23" s="40">
        <f>H23*0.75</f>
        <v>0</v>
      </c>
      <c r="AP23" s="40">
        <f>H23*(1-0.75)</f>
        <v>0</v>
      </c>
      <c r="AQ23" s="41" t="s">
        <v>7</v>
      </c>
      <c r="AV23" s="40">
        <f>AW23+AX23</f>
        <v>0</v>
      </c>
      <c r="AW23" s="40">
        <f>G23*AO23</f>
        <v>0</v>
      </c>
      <c r="AX23" s="40">
        <f>G23*AP23</f>
        <v>0</v>
      </c>
      <c r="AY23" s="43" t="s">
        <v>529</v>
      </c>
      <c r="AZ23" s="43" t="s">
        <v>549</v>
      </c>
      <c r="BA23" s="39" t="s">
        <v>557</v>
      </c>
      <c r="BC23" s="40">
        <f>AW23+AX23</f>
        <v>0</v>
      </c>
      <c r="BD23" s="40">
        <f>H23/(100-BE23)*100</f>
        <v>0</v>
      </c>
      <c r="BE23" s="40">
        <v>0</v>
      </c>
      <c r="BF23" s="40">
        <f>23</f>
        <v>23</v>
      </c>
      <c r="BH23" s="21">
        <f>G23*AO23</f>
        <v>0</v>
      </c>
      <c r="BI23" s="21">
        <f>G23*AP23</f>
        <v>0</v>
      </c>
      <c r="BJ23" s="21">
        <f>G23*H23</f>
        <v>0</v>
      </c>
      <c r="BK23" s="21" t="s">
        <v>562</v>
      </c>
      <c r="BL23" s="40">
        <v>21</v>
      </c>
    </row>
    <row r="24" spans="1:64" x14ac:dyDescent="0.25">
      <c r="A24" s="5"/>
      <c r="C24" s="87" t="s">
        <v>228</v>
      </c>
      <c r="D24" s="88"/>
      <c r="E24" s="88"/>
      <c r="G24" s="22">
        <v>2</v>
      </c>
      <c r="L24" s="34"/>
      <c r="M24" s="5"/>
    </row>
    <row r="25" spans="1:64" x14ac:dyDescent="0.25">
      <c r="A25" s="4" t="s">
        <v>12</v>
      </c>
      <c r="B25" s="14" t="s">
        <v>109</v>
      </c>
      <c r="C25" s="85" t="s">
        <v>229</v>
      </c>
      <c r="D25" s="86"/>
      <c r="E25" s="86"/>
      <c r="F25" s="14" t="s">
        <v>497</v>
      </c>
      <c r="G25" s="21">
        <v>2</v>
      </c>
      <c r="H25" s="21">
        <v>0</v>
      </c>
      <c r="I25" s="21">
        <f>G25*AO25</f>
        <v>0</v>
      </c>
      <c r="J25" s="21">
        <f>G25*AP25</f>
        <v>0</v>
      </c>
      <c r="K25" s="21">
        <f>G25*H25</f>
        <v>0</v>
      </c>
      <c r="L25" s="33"/>
      <c r="M25" s="5"/>
      <c r="Z25" s="40">
        <f>IF(AQ25="5",BJ25,0)</f>
        <v>0</v>
      </c>
      <c r="AB25" s="40">
        <f>IF(AQ25="1",BH25,0)</f>
        <v>0</v>
      </c>
      <c r="AC25" s="40">
        <f>IF(AQ25="1",BI25,0)</f>
        <v>0</v>
      </c>
      <c r="AD25" s="40">
        <f>IF(AQ25="7",BH25,0)</f>
        <v>0</v>
      </c>
      <c r="AE25" s="40">
        <f>IF(AQ25="7",BI25,0)</f>
        <v>0</v>
      </c>
      <c r="AF25" s="40">
        <f>IF(AQ25="2",BH25,0)</f>
        <v>0</v>
      </c>
      <c r="AG25" s="40">
        <f>IF(AQ25="2",BI25,0)</f>
        <v>0</v>
      </c>
      <c r="AH25" s="40">
        <f>IF(AQ25="0",BJ25,0)</f>
        <v>0</v>
      </c>
      <c r="AI25" s="39"/>
      <c r="AJ25" s="21">
        <f>IF(AN25=0,K25,0)</f>
        <v>0</v>
      </c>
      <c r="AK25" s="21">
        <f>IF(AN25=15,K25,0)</f>
        <v>0</v>
      </c>
      <c r="AL25" s="21">
        <f>IF(AN25=21,K25,0)</f>
        <v>0</v>
      </c>
      <c r="AN25" s="40">
        <v>15</v>
      </c>
      <c r="AO25" s="40">
        <f>H25*0.833333333333333</f>
        <v>0</v>
      </c>
      <c r="AP25" s="40">
        <f>H25*(1-0.833333333333333)</f>
        <v>0</v>
      </c>
      <c r="AQ25" s="41" t="s">
        <v>7</v>
      </c>
      <c r="AV25" s="40">
        <f>AW25+AX25</f>
        <v>0</v>
      </c>
      <c r="AW25" s="40">
        <f>G25*AO25</f>
        <v>0</v>
      </c>
      <c r="AX25" s="40">
        <f>G25*AP25</f>
        <v>0</v>
      </c>
      <c r="AY25" s="43" t="s">
        <v>529</v>
      </c>
      <c r="AZ25" s="43" t="s">
        <v>549</v>
      </c>
      <c r="BA25" s="39" t="s">
        <v>557</v>
      </c>
      <c r="BC25" s="40">
        <f>AW25+AX25</f>
        <v>0</v>
      </c>
      <c r="BD25" s="40">
        <f>H25/(100-BE25)*100</f>
        <v>0</v>
      </c>
      <c r="BE25" s="40">
        <v>0</v>
      </c>
      <c r="BF25" s="40">
        <f>25</f>
        <v>25</v>
      </c>
      <c r="BH25" s="21">
        <f>G25*AO25</f>
        <v>0</v>
      </c>
      <c r="BI25" s="21">
        <f>G25*AP25</f>
        <v>0</v>
      </c>
      <c r="BJ25" s="21">
        <f>G25*H25</f>
        <v>0</v>
      </c>
      <c r="BK25" s="21" t="s">
        <v>562</v>
      </c>
      <c r="BL25" s="40">
        <v>21</v>
      </c>
    </row>
    <row r="26" spans="1:64" x14ac:dyDescent="0.25">
      <c r="A26" s="5"/>
      <c r="C26" s="87" t="s">
        <v>230</v>
      </c>
      <c r="D26" s="88"/>
      <c r="E26" s="88"/>
      <c r="G26" s="22">
        <v>2</v>
      </c>
      <c r="L26" s="34"/>
      <c r="M26" s="5"/>
    </row>
    <row r="27" spans="1:64" x14ac:dyDescent="0.25">
      <c r="A27" s="6"/>
      <c r="B27" s="15" t="s">
        <v>65</v>
      </c>
      <c r="C27" s="83" t="s">
        <v>231</v>
      </c>
      <c r="D27" s="84"/>
      <c r="E27" s="84"/>
      <c r="F27" s="19" t="s">
        <v>6</v>
      </c>
      <c r="G27" s="19" t="s">
        <v>6</v>
      </c>
      <c r="H27" s="19" t="s">
        <v>6</v>
      </c>
      <c r="I27" s="46">
        <f>SUM(I28:I28)</f>
        <v>0</v>
      </c>
      <c r="J27" s="46">
        <f>SUM(J28:J28)</f>
        <v>0</v>
      </c>
      <c r="K27" s="46">
        <f>SUM(K28:K28)</f>
        <v>0</v>
      </c>
      <c r="L27" s="35"/>
      <c r="M27" s="5"/>
      <c r="AI27" s="39"/>
      <c r="AS27" s="46">
        <f>SUM(AJ28:AJ28)</f>
        <v>0</v>
      </c>
      <c r="AT27" s="46">
        <f>SUM(AK28:AK28)</f>
        <v>0</v>
      </c>
      <c r="AU27" s="46">
        <f>SUM(AL28:AL28)</f>
        <v>0</v>
      </c>
    </row>
    <row r="28" spans="1:64" x14ac:dyDescent="0.25">
      <c r="A28" s="4" t="s">
        <v>13</v>
      </c>
      <c r="B28" s="14" t="s">
        <v>110</v>
      </c>
      <c r="C28" s="85" t="s">
        <v>232</v>
      </c>
      <c r="D28" s="86"/>
      <c r="E28" s="86"/>
      <c r="F28" s="14" t="s">
        <v>495</v>
      </c>
      <c r="G28" s="21">
        <v>51</v>
      </c>
      <c r="H28" s="21">
        <v>0</v>
      </c>
      <c r="I28" s="21">
        <f>G28*AO28</f>
        <v>0</v>
      </c>
      <c r="J28" s="21">
        <f>G28*AP28</f>
        <v>0</v>
      </c>
      <c r="K28" s="21">
        <f>G28*H28</f>
        <v>0</v>
      </c>
      <c r="L28" s="33" t="s">
        <v>517</v>
      </c>
      <c r="M28" s="5"/>
      <c r="Z28" s="40">
        <f>IF(AQ28="5",BJ28,0)</f>
        <v>0</v>
      </c>
      <c r="AB28" s="40">
        <f>IF(AQ28="1",BH28,0)</f>
        <v>0</v>
      </c>
      <c r="AC28" s="40">
        <f>IF(AQ28="1",BI28,0)</f>
        <v>0</v>
      </c>
      <c r="AD28" s="40">
        <f>IF(AQ28="7",BH28,0)</f>
        <v>0</v>
      </c>
      <c r="AE28" s="40">
        <f>IF(AQ28="7",BI28,0)</f>
        <v>0</v>
      </c>
      <c r="AF28" s="40">
        <f>IF(AQ28="2",BH28,0)</f>
        <v>0</v>
      </c>
      <c r="AG28" s="40">
        <f>IF(AQ28="2",BI28,0)</f>
        <v>0</v>
      </c>
      <c r="AH28" s="40">
        <f>IF(AQ28="0",BJ28,0)</f>
        <v>0</v>
      </c>
      <c r="AI28" s="39"/>
      <c r="AJ28" s="21">
        <f>IF(AN28=0,K28,0)</f>
        <v>0</v>
      </c>
      <c r="AK28" s="21">
        <f>IF(AN28=15,K28,0)</f>
        <v>0</v>
      </c>
      <c r="AL28" s="21">
        <f>IF(AN28=21,K28,0)</f>
        <v>0</v>
      </c>
      <c r="AN28" s="40">
        <v>15</v>
      </c>
      <c r="AO28" s="40">
        <f>H28*0.498434543583169</f>
        <v>0</v>
      </c>
      <c r="AP28" s="40">
        <f>H28*(1-0.498434543583169)</f>
        <v>0</v>
      </c>
      <c r="AQ28" s="41" t="s">
        <v>7</v>
      </c>
      <c r="AV28" s="40">
        <f>AW28+AX28</f>
        <v>0</v>
      </c>
      <c r="AW28" s="40">
        <f>G28*AO28</f>
        <v>0</v>
      </c>
      <c r="AX28" s="40">
        <f>G28*AP28</f>
        <v>0</v>
      </c>
      <c r="AY28" s="43" t="s">
        <v>530</v>
      </c>
      <c r="AZ28" s="43" t="s">
        <v>550</v>
      </c>
      <c r="BA28" s="39" t="s">
        <v>557</v>
      </c>
      <c r="BC28" s="40">
        <f>AW28+AX28</f>
        <v>0</v>
      </c>
      <c r="BD28" s="40">
        <f>H28/(100-BE28)*100</f>
        <v>0</v>
      </c>
      <c r="BE28" s="40">
        <v>0</v>
      </c>
      <c r="BF28" s="40">
        <f>28</f>
        <v>28</v>
      </c>
      <c r="BH28" s="21">
        <f>G28*AO28</f>
        <v>0</v>
      </c>
      <c r="BI28" s="21">
        <f>G28*AP28</f>
        <v>0</v>
      </c>
      <c r="BJ28" s="21">
        <f>G28*H28</f>
        <v>0</v>
      </c>
      <c r="BK28" s="21" t="s">
        <v>562</v>
      </c>
      <c r="BL28" s="40">
        <v>59</v>
      </c>
    </row>
    <row r="29" spans="1:64" x14ac:dyDescent="0.25">
      <c r="A29" s="5"/>
      <c r="C29" s="87" t="s">
        <v>233</v>
      </c>
      <c r="D29" s="88"/>
      <c r="E29" s="88"/>
      <c r="G29" s="22">
        <v>3.4</v>
      </c>
      <c r="L29" s="34"/>
      <c r="M29" s="5"/>
    </row>
    <row r="30" spans="1:64" x14ac:dyDescent="0.25">
      <c r="A30" s="5"/>
      <c r="C30" s="87" t="s">
        <v>234</v>
      </c>
      <c r="D30" s="88"/>
      <c r="E30" s="88"/>
      <c r="G30" s="22">
        <v>45</v>
      </c>
      <c r="L30" s="34"/>
      <c r="M30" s="5"/>
    </row>
    <row r="31" spans="1:64" x14ac:dyDescent="0.25">
      <c r="A31" s="5"/>
      <c r="C31" s="87" t="s">
        <v>235</v>
      </c>
      <c r="D31" s="88"/>
      <c r="E31" s="88"/>
      <c r="G31" s="22">
        <v>2.42</v>
      </c>
      <c r="L31" s="34"/>
      <c r="M31" s="5"/>
    </row>
    <row r="32" spans="1:64" x14ac:dyDescent="0.25">
      <c r="A32" s="5"/>
      <c r="C32" s="87" t="s">
        <v>236</v>
      </c>
      <c r="D32" s="88"/>
      <c r="E32" s="88"/>
      <c r="G32" s="22">
        <v>0.18</v>
      </c>
      <c r="L32" s="34"/>
      <c r="M32" s="5"/>
    </row>
    <row r="33" spans="1:64" x14ac:dyDescent="0.25">
      <c r="A33" s="6"/>
      <c r="B33" s="15" t="s">
        <v>67</v>
      </c>
      <c r="C33" s="83" t="s">
        <v>237</v>
      </c>
      <c r="D33" s="84"/>
      <c r="E33" s="84"/>
      <c r="F33" s="19" t="s">
        <v>6</v>
      </c>
      <c r="G33" s="19" t="s">
        <v>6</v>
      </c>
      <c r="H33" s="19" t="s">
        <v>6</v>
      </c>
      <c r="I33" s="46">
        <f>SUM(I34:I36)</f>
        <v>0</v>
      </c>
      <c r="J33" s="46">
        <f>SUM(J34:J36)</f>
        <v>0</v>
      </c>
      <c r="K33" s="46">
        <f>SUM(K34:K36)</f>
        <v>0</v>
      </c>
      <c r="L33" s="35"/>
      <c r="M33" s="5"/>
      <c r="AI33" s="39"/>
      <c r="AS33" s="46">
        <f>SUM(AJ34:AJ36)</f>
        <v>0</v>
      </c>
      <c r="AT33" s="46">
        <f>SUM(AK34:AK36)</f>
        <v>0</v>
      </c>
      <c r="AU33" s="46">
        <f>SUM(AL34:AL36)</f>
        <v>0</v>
      </c>
    </row>
    <row r="34" spans="1:64" x14ac:dyDescent="0.25">
      <c r="A34" s="4" t="s">
        <v>14</v>
      </c>
      <c r="B34" s="14" t="s">
        <v>111</v>
      </c>
      <c r="C34" s="85" t="s">
        <v>238</v>
      </c>
      <c r="D34" s="86"/>
      <c r="E34" s="86"/>
      <c r="F34" s="14" t="s">
        <v>495</v>
      </c>
      <c r="G34" s="21">
        <v>250</v>
      </c>
      <c r="H34" s="21">
        <v>0</v>
      </c>
      <c r="I34" s="21">
        <f>G34*AO34</f>
        <v>0</v>
      </c>
      <c r="J34" s="21">
        <f>G34*AP34</f>
        <v>0</v>
      </c>
      <c r="K34" s="21">
        <f>G34*H34</f>
        <v>0</v>
      </c>
      <c r="L34" s="33" t="s">
        <v>517</v>
      </c>
      <c r="M34" s="5"/>
      <c r="Z34" s="40">
        <f>IF(AQ34="5",BJ34,0)</f>
        <v>0</v>
      </c>
      <c r="AB34" s="40">
        <f>IF(AQ34="1",BH34,0)</f>
        <v>0</v>
      </c>
      <c r="AC34" s="40">
        <f>IF(AQ34="1",BI34,0)</f>
        <v>0</v>
      </c>
      <c r="AD34" s="40">
        <f>IF(AQ34="7",BH34,0)</f>
        <v>0</v>
      </c>
      <c r="AE34" s="40">
        <f>IF(AQ34="7",BI34,0)</f>
        <v>0</v>
      </c>
      <c r="AF34" s="40">
        <f>IF(AQ34="2",BH34,0)</f>
        <v>0</v>
      </c>
      <c r="AG34" s="40">
        <f>IF(AQ34="2",BI34,0)</f>
        <v>0</v>
      </c>
      <c r="AH34" s="40">
        <f>IF(AQ34="0",BJ34,0)</f>
        <v>0</v>
      </c>
      <c r="AI34" s="39"/>
      <c r="AJ34" s="21">
        <f>IF(AN34=0,K34,0)</f>
        <v>0</v>
      </c>
      <c r="AK34" s="21">
        <f>IF(AN34=15,K34,0)</f>
        <v>0</v>
      </c>
      <c r="AL34" s="21">
        <f>IF(AN34=21,K34,0)</f>
        <v>0</v>
      </c>
      <c r="AN34" s="40">
        <v>15</v>
      </c>
      <c r="AO34" s="40">
        <f>H34*0.0412449799196787</f>
        <v>0</v>
      </c>
      <c r="AP34" s="40">
        <f>H34*(1-0.0412449799196787)</f>
        <v>0</v>
      </c>
      <c r="AQ34" s="41" t="s">
        <v>7</v>
      </c>
      <c r="AV34" s="40">
        <f>AW34+AX34</f>
        <v>0</v>
      </c>
      <c r="AW34" s="40">
        <f>G34*AO34</f>
        <v>0</v>
      </c>
      <c r="AX34" s="40">
        <f>G34*AP34</f>
        <v>0</v>
      </c>
      <c r="AY34" s="43" t="s">
        <v>531</v>
      </c>
      <c r="AZ34" s="43" t="s">
        <v>551</v>
      </c>
      <c r="BA34" s="39" t="s">
        <v>557</v>
      </c>
      <c r="BC34" s="40">
        <f>AW34+AX34</f>
        <v>0</v>
      </c>
      <c r="BD34" s="40">
        <f>H34/(100-BE34)*100</f>
        <v>0</v>
      </c>
      <c r="BE34" s="40">
        <v>0</v>
      </c>
      <c r="BF34" s="40">
        <f>34</f>
        <v>34</v>
      </c>
      <c r="BH34" s="21">
        <f>G34*AO34</f>
        <v>0</v>
      </c>
      <c r="BI34" s="21">
        <f>G34*AP34</f>
        <v>0</v>
      </c>
      <c r="BJ34" s="21">
        <f>G34*H34</f>
        <v>0</v>
      </c>
      <c r="BK34" s="21" t="s">
        <v>562</v>
      </c>
      <c r="BL34" s="40">
        <v>61</v>
      </c>
    </row>
    <row r="35" spans="1:64" x14ac:dyDescent="0.25">
      <c r="A35" s="5"/>
      <c r="C35" s="87" t="s">
        <v>239</v>
      </c>
      <c r="D35" s="88"/>
      <c r="E35" s="88"/>
      <c r="G35" s="22">
        <v>250</v>
      </c>
      <c r="L35" s="34"/>
      <c r="M35" s="5"/>
    </row>
    <row r="36" spans="1:64" x14ac:dyDescent="0.25">
      <c r="A36" s="4" t="s">
        <v>15</v>
      </c>
      <c r="B36" s="14" t="s">
        <v>112</v>
      </c>
      <c r="C36" s="85" t="s">
        <v>240</v>
      </c>
      <c r="D36" s="86"/>
      <c r="E36" s="86"/>
      <c r="F36" s="14" t="s">
        <v>495</v>
      </c>
      <c r="G36" s="21">
        <v>123.13800000000001</v>
      </c>
      <c r="H36" s="21">
        <v>0</v>
      </c>
      <c r="I36" s="21">
        <f>G36*AO36</f>
        <v>0</v>
      </c>
      <c r="J36" s="21">
        <f>G36*AP36</f>
        <v>0</v>
      </c>
      <c r="K36" s="21">
        <f>G36*H36</f>
        <v>0</v>
      </c>
      <c r="L36" s="33" t="s">
        <v>517</v>
      </c>
      <c r="M36" s="5"/>
      <c r="Z36" s="40">
        <f>IF(AQ36="5",BJ36,0)</f>
        <v>0</v>
      </c>
      <c r="AB36" s="40">
        <f>IF(AQ36="1",BH36,0)</f>
        <v>0</v>
      </c>
      <c r="AC36" s="40">
        <f>IF(AQ36="1",BI36,0)</f>
        <v>0</v>
      </c>
      <c r="AD36" s="40">
        <f>IF(AQ36="7",BH36,0)</f>
        <v>0</v>
      </c>
      <c r="AE36" s="40">
        <f>IF(AQ36="7",BI36,0)</f>
        <v>0</v>
      </c>
      <c r="AF36" s="40">
        <f>IF(AQ36="2",BH36,0)</f>
        <v>0</v>
      </c>
      <c r="AG36" s="40">
        <f>IF(AQ36="2",BI36,0)</f>
        <v>0</v>
      </c>
      <c r="AH36" s="40">
        <f>IF(AQ36="0",BJ36,0)</f>
        <v>0</v>
      </c>
      <c r="AI36" s="39"/>
      <c r="AJ36" s="21">
        <f>IF(AN36=0,K36,0)</f>
        <v>0</v>
      </c>
      <c r="AK36" s="21">
        <f>IF(AN36=15,K36,0)</f>
        <v>0</v>
      </c>
      <c r="AL36" s="21">
        <f>IF(AN36=21,K36,0)</f>
        <v>0</v>
      </c>
      <c r="AN36" s="40">
        <v>15</v>
      </c>
      <c r="AO36" s="40">
        <f>H36*0.139550218091256</f>
        <v>0</v>
      </c>
      <c r="AP36" s="40">
        <f>H36*(1-0.139550218091256)</f>
        <v>0</v>
      </c>
      <c r="AQ36" s="41" t="s">
        <v>7</v>
      </c>
      <c r="AV36" s="40">
        <f>AW36+AX36</f>
        <v>0</v>
      </c>
      <c r="AW36" s="40">
        <f>G36*AO36</f>
        <v>0</v>
      </c>
      <c r="AX36" s="40">
        <f>G36*AP36</f>
        <v>0</v>
      </c>
      <c r="AY36" s="43" t="s">
        <v>531</v>
      </c>
      <c r="AZ36" s="43" t="s">
        <v>551</v>
      </c>
      <c r="BA36" s="39" t="s">
        <v>557</v>
      </c>
      <c r="BC36" s="40">
        <f>AW36+AX36</f>
        <v>0</v>
      </c>
      <c r="BD36" s="40">
        <f>H36/(100-BE36)*100</f>
        <v>0</v>
      </c>
      <c r="BE36" s="40">
        <v>0</v>
      </c>
      <c r="BF36" s="40">
        <f>36</f>
        <v>36</v>
      </c>
      <c r="BH36" s="21">
        <f>G36*AO36</f>
        <v>0</v>
      </c>
      <c r="BI36" s="21">
        <f>G36*AP36</f>
        <v>0</v>
      </c>
      <c r="BJ36" s="21">
        <f>G36*H36</f>
        <v>0</v>
      </c>
      <c r="BK36" s="21" t="s">
        <v>562</v>
      </c>
      <c r="BL36" s="40">
        <v>61</v>
      </c>
    </row>
    <row r="37" spans="1:64" x14ac:dyDescent="0.25">
      <c r="A37" s="5"/>
      <c r="C37" s="87" t="s">
        <v>241</v>
      </c>
      <c r="D37" s="88"/>
      <c r="E37" s="88"/>
      <c r="G37" s="22">
        <v>15.3</v>
      </c>
      <c r="L37" s="34"/>
      <c r="M37" s="5"/>
    </row>
    <row r="38" spans="1:64" x14ac:dyDescent="0.25">
      <c r="A38" s="5"/>
      <c r="C38" s="87" t="s">
        <v>242</v>
      </c>
      <c r="D38" s="88"/>
      <c r="E38" s="88"/>
      <c r="G38" s="22">
        <v>51.84</v>
      </c>
      <c r="L38" s="34"/>
      <c r="M38" s="5"/>
    </row>
    <row r="39" spans="1:64" x14ac:dyDescent="0.25">
      <c r="A39" s="5"/>
      <c r="C39" s="87" t="s">
        <v>243</v>
      </c>
      <c r="D39" s="88"/>
      <c r="E39" s="88"/>
      <c r="G39" s="22">
        <v>25.92</v>
      </c>
      <c r="L39" s="34"/>
      <c r="M39" s="5"/>
    </row>
    <row r="40" spans="1:64" x14ac:dyDescent="0.25">
      <c r="A40" s="5"/>
      <c r="C40" s="87" t="s">
        <v>244</v>
      </c>
      <c r="D40" s="88"/>
      <c r="E40" s="88"/>
      <c r="G40" s="22">
        <v>12.96</v>
      </c>
      <c r="L40" s="34"/>
      <c r="M40" s="5"/>
    </row>
    <row r="41" spans="1:64" x14ac:dyDescent="0.25">
      <c r="A41" s="5"/>
      <c r="C41" s="87" t="s">
        <v>245</v>
      </c>
      <c r="D41" s="88"/>
      <c r="E41" s="88"/>
      <c r="G41" s="22">
        <v>12.96</v>
      </c>
      <c r="L41" s="34"/>
      <c r="M41" s="5"/>
    </row>
    <row r="42" spans="1:64" x14ac:dyDescent="0.25">
      <c r="A42" s="5"/>
      <c r="C42" s="87" t="s">
        <v>246</v>
      </c>
      <c r="D42" s="88"/>
      <c r="E42" s="88"/>
      <c r="G42" s="22">
        <v>4.1580000000000004</v>
      </c>
      <c r="L42" s="34"/>
      <c r="M42" s="5"/>
    </row>
    <row r="43" spans="1:64" x14ac:dyDescent="0.25">
      <c r="A43" s="6"/>
      <c r="B43" s="15" t="s">
        <v>68</v>
      </c>
      <c r="C43" s="83" t="s">
        <v>247</v>
      </c>
      <c r="D43" s="84"/>
      <c r="E43" s="84"/>
      <c r="F43" s="19" t="s">
        <v>6</v>
      </c>
      <c r="G43" s="19" t="s">
        <v>6</v>
      </c>
      <c r="H43" s="19" t="s">
        <v>6</v>
      </c>
      <c r="I43" s="46">
        <f>SUM(I44:I125)</f>
        <v>0</v>
      </c>
      <c r="J43" s="46">
        <f>SUM(J44:J125)</f>
        <v>0</v>
      </c>
      <c r="K43" s="46">
        <f>SUM(K44:K125)</f>
        <v>0</v>
      </c>
      <c r="L43" s="35"/>
      <c r="M43" s="5"/>
      <c r="AI43" s="39"/>
      <c r="AS43" s="46">
        <f>SUM(AJ44:AJ125)</f>
        <v>0</v>
      </c>
      <c r="AT43" s="46">
        <f>SUM(AK44:AK125)</f>
        <v>0</v>
      </c>
      <c r="AU43" s="46">
        <f>SUM(AL44:AL125)</f>
        <v>0</v>
      </c>
    </row>
    <row r="44" spans="1:64" x14ac:dyDescent="0.25">
      <c r="A44" s="4" t="s">
        <v>16</v>
      </c>
      <c r="B44" s="14" t="s">
        <v>113</v>
      </c>
      <c r="C44" s="85" t="s">
        <v>248</v>
      </c>
      <c r="D44" s="86"/>
      <c r="E44" s="86"/>
      <c r="F44" s="14" t="s">
        <v>496</v>
      </c>
      <c r="G44" s="21">
        <v>91</v>
      </c>
      <c r="H44" s="21">
        <v>0</v>
      </c>
      <c r="I44" s="21">
        <f>G44*AO44</f>
        <v>0</v>
      </c>
      <c r="J44" s="21">
        <f>G44*AP44</f>
        <v>0</v>
      </c>
      <c r="K44" s="21">
        <f>G44*H44</f>
        <v>0</v>
      </c>
      <c r="L44" s="33" t="s">
        <v>517</v>
      </c>
      <c r="M44" s="5"/>
      <c r="Z44" s="40">
        <f>IF(AQ44="5",BJ44,0)</f>
        <v>0</v>
      </c>
      <c r="AB44" s="40">
        <f>IF(AQ44="1",BH44,0)</f>
        <v>0</v>
      </c>
      <c r="AC44" s="40">
        <f>IF(AQ44="1",BI44,0)</f>
        <v>0</v>
      </c>
      <c r="AD44" s="40">
        <f>IF(AQ44="7",BH44,0)</f>
        <v>0</v>
      </c>
      <c r="AE44" s="40">
        <f>IF(AQ44="7",BI44,0)</f>
        <v>0</v>
      </c>
      <c r="AF44" s="40">
        <f>IF(AQ44="2",BH44,0)</f>
        <v>0</v>
      </c>
      <c r="AG44" s="40">
        <f>IF(AQ44="2",BI44,0)</f>
        <v>0</v>
      </c>
      <c r="AH44" s="40">
        <f>IF(AQ44="0",BJ44,0)</f>
        <v>0</v>
      </c>
      <c r="AI44" s="39"/>
      <c r="AJ44" s="21">
        <f>IF(AN44=0,K44,0)</f>
        <v>0</v>
      </c>
      <c r="AK44" s="21">
        <f>IF(AN44=15,K44,0)</f>
        <v>0</v>
      </c>
      <c r="AL44" s="21">
        <f>IF(AN44=21,K44,0)</f>
        <v>0</v>
      </c>
      <c r="AN44" s="40">
        <v>15</v>
      </c>
      <c r="AO44" s="40">
        <f>H44*0.576279069767442</f>
        <v>0</v>
      </c>
      <c r="AP44" s="40">
        <f>H44*(1-0.576279069767442)</f>
        <v>0</v>
      </c>
      <c r="AQ44" s="41" t="s">
        <v>7</v>
      </c>
      <c r="AV44" s="40">
        <f>AW44+AX44</f>
        <v>0</v>
      </c>
      <c r="AW44" s="40">
        <f>G44*AO44</f>
        <v>0</v>
      </c>
      <c r="AX44" s="40">
        <f>G44*AP44</f>
        <v>0</v>
      </c>
      <c r="AY44" s="43" t="s">
        <v>532</v>
      </c>
      <c r="AZ44" s="43" t="s">
        <v>551</v>
      </c>
      <c r="BA44" s="39" t="s">
        <v>557</v>
      </c>
      <c r="BC44" s="40">
        <f>AW44+AX44</f>
        <v>0</v>
      </c>
      <c r="BD44" s="40">
        <f>H44/(100-BE44)*100</f>
        <v>0</v>
      </c>
      <c r="BE44" s="40">
        <v>0</v>
      </c>
      <c r="BF44" s="40">
        <f>44</f>
        <v>44</v>
      </c>
      <c r="BH44" s="21">
        <f>G44*AO44</f>
        <v>0</v>
      </c>
      <c r="BI44" s="21">
        <f>G44*AP44</f>
        <v>0</v>
      </c>
      <c r="BJ44" s="21">
        <f>G44*H44</f>
        <v>0</v>
      </c>
      <c r="BK44" s="21" t="s">
        <v>562</v>
      </c>
      <c r="BL44" s="40">
        <v>62</v>
      </c>
    </row>
    <row r="45" spans="1:64" x14ac:dyDescent="0.25">
      <c r="A45" s="5"/>
      <c r="C45" s="87" t="s">
        <v>249</v>
      </c>
      <c r="D45" s="88"/>
      <c r="E45" s="88"/>
      <c r="G45" s="22">
        <v>82.8</v>
      </c>
      <c r="L45" s="34"/>
      <c r="M45" s="5"/>
    </row>
    <row r="46" spans="1:64" x14ac:dyDescent="0.25">
      <c r="A46" s="5"/>
      <c r="C46" s="87" t="s">
        <v>250</v>
      </c>
      <c r="D46" s="88"/>
      <c r="E46" s="88"/>
      <c r="G46" s="22">
        <v>8.2799999999999994</v>
      </c>
      <c r="L46" s="34"/>
      <c r="M46" s="5"/>
    </row>
    <row r="47" spans="1:64" x14ac:dyDescent="0.25">
      <c r="A47" s="5"/>
      <c r="C47" s="87" t="s">
        <v>251</v>
      </c>
      <c r="D47" s="88"/>
      <c r="E47" s="88"/>
      <c r="G47" s="22">
        <v>-0.08</v>
      </c>
      <c r="L47" s="34"/>
      <c r="M47" s="5"/>
    </row>
    <row r="48" spans="1:64" x14ac:dyDescent="0.25">
      <c r="A48" s="4" t="s">
        <v>17</v>
      </c>
      <c r="B48" s="14" t="s">
        <v>114</v>
      </c>
      <c r="C48" s="85" t="s">
        <v>252</v>
      </c>
      <c r="D48" s="86"/>
      <c r="E48" s="86"/>
      <c r="F48" s="14" t="s">
        <v>495</v>
      </c>
      <c r="G48" s="64">
        <v>92</v>
      </c>
      <c r="H48" s="21">
        <v>0</v>
      </c>
      <c r="I48" s="21">
        <f>G48*AO48</f>
        <v>0</v>
      </c>
      <c r="J48" s="21">
        <f>G48*AP48</f>
        <v>0</v>
      </c>
      <c r="K48" s="21">
        <f>G48*H48</f>
        <v>0</v>
      </c>
      <c r="L48" s="33" t="s">
        <v>517</v>
      </c>
      <c r="M48" s="5"/>
      <c r="Z48" s="40">
        <f>IF(AQ48="5",BJ48,0)</f>
        <v>0</v>
      </c>
      <c r="AB48" s="40">
        <f>IF(AQ48="1",BH48,0)</f>
        <v>0</v>
      </c>
      <c r="AC48" s="40">
        <f>IF(AQ48="1",BI48,0)</f>
        <v>0</v>
      </c>
      <c r="AD48" s="40">
        <f>IF(AQ48="7",BH48,0)</f>
        <v>0</v>
      </c>
      <c r="AE48" s="40">
        <f>IF(AQ48="7",BI48,0)</f>
        <v>0</v>
      </c>
      <c r="AF48" s="40">
        <f>IF(AQ48="2",BH48,0)</f>
        <v>0</v>
      </c>
      <c r="AG48" s="40">
        <f>IF(AQ48="2",BI48,0)</f>
        <v>0</v>
      </c>
      <c r="AH48" s="40">
        <f>IF(AQ48="0",BJ48,0)</f>
        <v>0</v>
      </c>
      <c r="AI48" s="39"/>
      <c r="AJ48" s="21">
        <f>IF(AN48=0,K48,0)</f>
        <v>0</v>
      </c>
      <c r="AK48" s="21">
        <f>IF(AN48=15,K48,0)</f>
        <v>0</v>
      </c>
      <c r="AL48" s="21">
        <f>IF(AN48=21,K48,0)</f>
        <v>0</v>
      </c>
      <c r="AN48" s="40">
        <v>15</v>
      </c>
      <c r="AO48" s="40">
        <f>H48*0.674232779097387</f>
        <v>0</v>
      </c>
      <c r="AP48" s="40">
        <f>H48*(1-0.674232779097387)</f>
        <v>0</v>
      </c>
      <c r="AQ48" s="41" t="s">
        <v>7</v>
      </c>
      <c r="AV48" s="40">
        <f>AW48+AX48</f>
        <v>0</v>
      </c>
      <c r="AW48" s="40">
        <f>G48*AO48</f>
        <v>0</v>
      </c>
      <c r="AX48" s="40">
        <f>G48*AP48</f>
        <v>0</v>
      </c>
      <c r="AY48" s="43" t="s">
        <v>532</v>
      </c>
      <c r="AZ48" s="43" t="s">
        <v>551</v>
      </c>
      <c r="BA48" s="39" t="s">
        <v>557</v>
      </c>
      <c r="BC48" s="40">
        <f>AW48+AX48</f>
        <v>0</v>
      </c>
      <c r="BD48" s="40">
        <f>H48/(100-BE48)*100</f>
        <v>0</v>
      </c>
      <c r="BE48" s="40">
        <v>0</v>
      </c>
      <c r="BF48" s="40">
        <f>48</f>
        <v>48</v>
      </c>
      <c r="BH48" s="21">
        <f>G48*AO48</f>
        <v>0</v>
      </c>
      <c r="BI48" s="21">
        <f>G48*AP48</f>
        <v>0</v>
      </c>
      <c r="BJ48" s="21">
        <f>G48*H48</f>
        <v>0</v>
      </c>
      <c r="BK48" s="21" t="s">
        <v>562</v>
      </c>
      <c r="BL48" s="40">
        <v>62</v>
      </c>
    </row>
    <row r="49" spans="1:64" x14ac:dyDescent="0.25">
      <c r="A49" s="5"/>
      <c r="C49" s="87" t="s">
        <v>253</v>
      </c>
      <c r="D49" s="88"/>
      <c r="E49" s="88"/>
      <c r="G49" s="22">
        <v>82.8</v>
      </c>
      <c r="L49" s="34"/>
      <c r="M49" s="5"/>
    </row>
    <row r="50" spans="1:64" x14ac:dyDescent="0.25">
      <c r="A50" s="5"/>
      <c r="C50" s="87" t="s">
        <v>254</v>
      </c>
      <c r="D50" s="88"/>
      <c r="E50" s="88"/>
      <c r="G50" s="22">
        <v>4.75</v>
      </c>
      <c r="L50" s="34"/>
      <c r="M50" s="5"/>
    </row>
    <row r="51" spans="1:64" x14ac:dyDescent="0.25">
      <c r="A51" s="5"/>
      <c r="C51" s="87" t="s">
        <v>255</v>
      </c>
      <c r="D51" s="88"/>
      <c r="E51" s="88"/>
      <c r="G51" s="22">
        <v>4.3775000000000004</v>
      </c>
      <c r="L51" s="34"/>
      <c r="M51" s="5"/>
    </row>
    <row r="52" spans="1:64" x14ac:dyDescent="0.25">
      <c r="A52" s="5"/>
      <c r="C52" s="87" t="s">
        <v>256</v>
      </c>
      <c r="D52" s="88"/>
      <c r="E52" s="88"/>
      <c r="G52" s="22">
        <v>7.2499999999999995E-2</v>
      </c>
      <c r="L52" s="34"/>
      <c r="M52" s="5"/>
    </row>
    <row r="53" spans="1:64" x14ac:dyDescent="0.25">
      <c r="A53" s="4" t="s">
        <v>18</v>
      </c>
      <c r="B53" s="14" t="s">
        <v>115</v>
      </c>
      <c r="C53" s="85" t="s">
        <v>257</v>
      </c>
      <c r="D53" s="86"/>
      <c r="E53" s="86"/>
      <c r="F53" s="14" t="s">
        <v>495</v>
      </c>
      <c r="G53" s="64">
        <v>624</v>
      </c>
      <c r="H53" s="21">
        <v>0</v>
      </c>
      <c r="I53" s="21">
        <f>G53*AO53</f>
        <v>0</v>
      </c>
      <c r="J53" s="21">
        <f>G53*AP53</f>
        <v>0</v>
      </c>
      <c r="K53" s="21">
        <f>G53*H53</f>
        <v>0</v>
      </c>
      <c r="L53" s="33" t="s">
        <v>517</v>
      </c>
      <c r="M53" s="5"/>
      <c r="Z53" s="40">
        <f>IF(AQ53="5",BJ53,0)</f>
        <v>0</v>
      </c>
      <c r="AB53" s="40">
        <f>IF(AQ53="1",BH53,0)</f>
        <v>0</v>
      </c>
      <c r="AC53" s="40">
        <f>IF(AQ53="1",BI53,0)</f>
        <v>0</v>
      </c>
      <c r="AD53" s="40">
        <f>IF(AQ53="7",BH53,0)</f>
        <v>0</v>
      </c>
      <c r="AE53" s="40">
        <f>IF(AQ53="7",BI53,0)</f>
        <v>0</v>
      </c>
      <c r="AF53" s="40">
        <f>IF(AQ53="2",BH53,0)</f>
        <v>0</v>
      </c>
      <c r="AG53" s="40">
        <f>IF(AQ53="2",BI53,0)</f>
        <v>0</v>
      </c>
      <c r="AH53" s="40">
        <f>IF(AQ53="0",BJ53,0)</f>
        <v>0</v>
      </c>
      <c r="AI53" s="39"/>
      <c r="AJ53" s="21">
        <f>IF(AN53=0,K53,0)</f>
        <v>0</v>
      </c>
      <c r="AK53" s="21">
        <f>IF(AN53=15,K53,0)</f>
        <v>0</v>
      </c>
      <c r="AL53" s="21">
        <f>IF(AN53=21,K53,0)</f>
        <v>0</v>
      </c>
      <c r="AN53" s="40">
        <v>15</v>
      </c>
      <c r="AO53" s="40">
        <f>H53*0.51554675118859</f>
        <v>0</v>
      </c>
      <c r="AP53" s="40">
        <f>H53*(1-0.51554675118859)</f>
        <v>0</v>
      </c>
      <c r="AQ53" s="41" t="s">
        <v>7</v>
      </c>
      <c r="AV53" s="40">
        <f>AW53+AX53</f>
        <v>0</v>
      </c>
      <c r="AW53" s="40">
        <f>G53*AO53</f>
        <v>0</v>
      </c>
      <c r="AX53" s="40">
        <f>G53*AP53</f>
        <v>0</v>
      </c>
      <c r="AY53" s="43" t="s">
        <v>532</v>
      </c>
      <c r="AZ53" s="43" t="s">
        <v>551</v>
      </c>
      <c r="BA53" s="39" t="s">
        <v>557</v>
      </c>
      <c r="BC53" s="40">
        <f>AW53+AX53</f>
        <v>0</v>
      </c>
      <c r="BD53" s="40">
        <f>H53/(100-BE53)*100</f>
        <v>0</v>
      </c>
      <c r="BE53" s="40">
        <v>0</v>
      </c>
      <c r="BF53" s="40">
        <f>53</f>
        <v>53</v>
      </c>
      <c r="BH53" s="21">
        <f>G53*AO53</f>
        <v>0</v>
      </c>
      <c r="BI53" s="21">
        <f>G53*AP53</f>
        <v>0</v>
      </c>
      <c r="BJ53" s="21">
        <f>G53*H53</f>
        <v>0</v>
      </c>
      <c r="BK53" s="21" t="s">
        <v>562</v>
      </c>
      <c r="BL53" s="40">
        <v>62</v>
      </c>
    </row>
    <row r="54" spans="1:64" x14ac:dyDescent="0.25">
      <c r="A54" s="5"/>
      <c r="C54" s="87" t="s">
        <v>258</v>
      </c>
      <c r="D54" s="88"/>
      <c r="E54" s="88"/>
      <c r="G54" s="22">
        <v>716.38</v>
      </c>
      <c r="L54" s="34"/>
      <c r="M54" s="5"/>
    </row>
    <row r="55" spans="1:64" x14ac:dyDescent="0.25">
      <c r="A55" s="5"/>
      <c r="C55" s="87" t="s">
        <v>259</v>
      </c>
      <c r="D55" s="88"/>
      <c r="E55" s="88"/>
      <c r="G55" s="22">
        <v>-122.04</v>
      </c>
      <c r="L55" s="34"/>
      <c r="M55" s="5"/>
    </row>
    <row r="56" spans="1:64" x14ac:dyDescent="0.25">
      <c r="A56" s="5"/>
      <c r="C56" s="87" t="s">
        <v>260</v>
      </c>
      <c r="D56" s="88"/>
      <c r="E56" s="88"/>
      <c r="G56" s="22">
        <v>29.716999999999999</v>
      </c>
      <c r="L56" s="34"/>
      <c r="M56" s="5"/>
    </row>
    <row r="57" spans="1:64" x14ac:dyDescent="0.25">
      <c r="A57" s="5"/>
      <c r="C57" s="87" t="s">
        <v>261</v>
      </c>
      <c r="D57" s="88"/>
      <c r="E57" s="88"/>
      <c r="G57" s="22">
        <v>-5.7000000000000002E-2</v>
      </c>
      <c r="L57" s="34"/>
      <c r="M57" s="5"/>
    </row>
    <row r="58" spans="1:64" x14ac:dyDescent="0.25">
      <c r="A58" s="4" t="s">
        <v>19</v>
      </c>
      <c r="B58" s="14" t="s">
        <v>116</v>
      </c>
      <c r="C58" s="85" t="s">
        <v>262</v>
      </c>
      <c r="D58" s="86"/>
      <c r="E58" s="86"/>
      <c r="F58" s="14" t="s">
        <v>495</v>
      </c>
      <c r="G58" s="21">
        <v>101</v>
      </c>
      <c r="H58" s="21">
        <v>0</v>
      </c>
      <c r="I58" s="21">
        <f>G58*AO58</f>
        <v>0</v>
      </c>
      <c r="J58" s="21">
        <f>G58*AP58</f>
        <v>0</v>
      </c>
      <c r="K58" s="21">
        <f>G58*H58</f>
        <v>0</v>
      </c>
      <c r="L58" s="33" t="s">
        <v>517</v>
      </c>
      <c r="M58" s="5"/>
      <c r="Z58" s="40">
        <f>IF(AQ58="5",BJ58,0)</f>
        <v>0</v>
      </c>
      <c r="AB58" s="40">
        <f>IF(AQ58="1",BH58,0)</f>
        <v>0</v>
      </c>
      <c r="AC58" s="40">
        <f>IF(AQ58="1",BI58,0)</f>
        <v>0</v>
      </c>
      <c r="AD58" s="40">
        <f>IF(AQ58="7",BH58,0)</f>
        <v>0</v>
      </c>
      <c r="AE58" s="40">
        <f>IF(AQ58="7",BI58,0)</f>
        <v>0</v>
      </c>
      <c r="AF58" s="40">
        <f>IF(AQ58="2",BH58,0)</f>
        <v>0</v>
      </c>
      <c r="AG58" s="40">
        <f>IF(AQ58="2",BI58,0)</f>
        <v>0</v>
      </c>
      <c r="AH58" s="40">
        <f>IF(AQ58="0",BJ58,0)</f>
        <v>0</v>
      </c>
      <c r="AI58" s="39"/>
      <c r="AJ58" s="21">
        <f>IF(AN58=0,K58,0)</f>
        <v>0</v>
      </c>
      <c r="AK58" s="21">
        <f>IF(AN58=15,K58,0)</f>
        <v>0</v>
      </c>
      <c r="AL58" s="21">
        <f>IF(AN58=21,K58,0)</f>
        <v>0</v>
      </c>
      <c r="AN58" s="40">
        <v>15</v>
      </c>
      <c r="AO58" s="40">
        <f>H58*0.666177118519606</f>
        <v>0</v>
      </c>
      <c r="AP58" s="40">
        <f>H58*(1-0.666177118519606)</f>
        <v>0</v>
      </c>
      <c r="AQ58" s="41" t="s">
        <v>7</v>
      </c>
      <c r="AV58" s="40">
        <f>AW58+AX58</f>
        <v>0</v>
      </c>
      <c r="AW58" s="40">
        <f>G58*AO58</f>
        <v>0</v>
      </c>
      <c r="AX58" s="40">
        <f>G58*AP58</f>
        <v>0</v>
      </c>
      <c r="AY58" s="43" t="s">
        <v>532</v>
      </c>
      <c r="AZ58" s="43" t="s">
        <v>551</v>
      </c>
      <c r="BA58" s="39" t="s">
        <v>557</v>
      </c>
      <c r="BC58" s="40">
        <f>AW58+AX58</f>
        <v>0</v>
      </c>
      <c r="BD58" s="40">
        <f>H58/(100-BE58)*100</f>
        <v>0</v>
      </c>
      <c r="BE58" s="40">
        <v>0</v>
      </c>
      <c r="BF58" s="40">
        <f>58</f>
        <v>58</v>
      </c>
      <c r="BH58" s="21">
        <f>G58*AO58</f>
        <v>0</v>
      </c>
      <c r="BI58" s="21">
        <f>G58*AP58</f>
        <v>0</v>
      </c>
      <c r="BJ58" s="21">
        <f>G58*H58</f>
        <v>0</v>
      </c>
      <c r="BK58" s="21" t="s">
        <v>562</v>
      </c>
      <c r="BL58" s="40">
        <v>62</v>
      </c>
    </row>
    <row r="59" spans="1:64" x14ac:dyDescent="0.25">
      <c r="A59" s="5"/>
      <c r="C59" s="87" t="s">
        <v>263</v>
      </c>
      <c r="D59" s="88"/>
      <c r="E59" s="88"/>
      <c r="G59" s="22">
        <v>90.415000000000006</v>
      </c>
      <c r="L59" s="34"/>
      <c r="M59" s="5"/>
    </row>
    <row r="60" spans="1:64" x14ac:dyDescent="0.25">
      <c r="A60" s="5"/>
      <c r="C60" s="87" t="s">
        <v>264</v>
      </c>
      <c r="D60" s="88"/>
      <c r="E60" s="88"/>
      <c r="G60" s="22">
        <v>5.3550000000000004</v>
      </c>
      <c r="L60" s="34"/>
      <c r="M60" s="5"/>
    </row>
    <row r="61" spans="1:64" x14ac:dyDescent="0.25">
      <c r="A61" s="5"/>
      <c r="C61" s="87" t="s">
        <v>265</v>
      </c>
      <c r="D61" s="88"/>
      <c r="E61" s="88"/>
      <c r="G61" s="22">
        <v>4.7885</v>
      </c>
      <c r="L61" s="34"/>
      <c r="M61" s="5"/>
    </row>
    <row r="62" spans="1:64" x14ac:dyDescent="0.25">
      <c r="A62" s="5"/>
      <c r="C62" s="87" t="s">
        <v>266</v>
      </c>
      <c r="D62" s="88"/>
      <c r="E62" s="88"/>
      <c r="G62" s="22">
        <v>0.4415</v>
      </c>
      <c r="L62" s="34"/>
      <c r="M62" s="5"/>
    </row>
    <row r="63" spans="1:64" x14ac:dyDescent="0.25">
      <c r="A63" s="4" t="s">
        <v>20</v>
      </c>
      <c r="B63" s="14" t="s">
        <v>117</v>
      </c>
      <c r="C63" s="85" t="s">
        <v>267</v>
      </c>
      <c r="D63" s="86"/>
      <c r="E63" s="86"/>
      <c r="F63" s="14" t="s">
        <v>495</v>
      </c>
      <c r="G63" s="64">
        <v>3</v>
      </c>
      <c r="H63" s="21">
        <v>0</v>
      </c>
      <c r="I63" s="21">
        <f>G63*AO63</f>
        <v>0</v>
      </c>
      <c r="J63" s="21">
        <f>G63*AP63</f>
        <v>0</v>
      </c>
      <c r="K63" s="21">
        <f>G63*H63</f>
        <v>0</v>
      </c>
      <c r="L63" s="33" t="s">
        <v>517</v>
      </c>
      <c r="M63" s="5"/>
      <c r="Z63" s="40">
        <f>IF(AQ63="5",BJ63,0)</f>
        <v>0</v>
      </c>
      <c r="AB63" s="40">
        <f>IF(AQ63="1",BH63,0)</f>
        <v>0</v>
      </c>
      <c r="AC63" s="40">
        <f>IF(AQ63="1",BI63,0)</f>
        <v>0</v>
      </c>
      <c r="AD63" s="40">
        <f>IF(AQ63="7",BH63,0)</f>
        <v>0</v>
      </c>
      <c r="AE63" s="40">
        <f>IF(AQ63="7",BI63,0)</f>
        <v>0</v>
      </c>
      <c r="AF63" s="40">
        <f>IF(AQ63="2",BH63,0)</f>
        <v>0</v>
      </c>
      <c r="AG63" s="40">
        <f>IF(AQ63="2",BI63,0)</f>
        <v>0</v>
      </c>
      <c r="AH63" s="40">
        <f>IF(AQ63="0",BJ63,0)</f>
        <v>0</v>
      </c>
      <c r="AI63" s="39"/>
      <c r="AJ63" s="21">
        <f>IF(AN63=0,K63,0)</f>
        <v>0</v>
      </c>
      <c r="AK63" s="21">
        <f>IF(AN63=15,K63,0)</f>
        <v>0</v>
      </c>
      <c r="AL63" s="21">
        <f>IF(AN63=21,K63,0)</f>
        <v>0</v>
      </c>
      <c r="AN63" s="40">
        <v>15</v>
      </c>
      <c r="AO63" s="40">
        <f>H63*0.356939898413649</f>
        <v>0</v>
      </c>
      <c r="AP63" s="40">
        <f>H63*(1-0.356939898413649)</f>
        <v>0</v>
      </c>
      <c r="AQ63" s="41" t="s">
        <v>7</v>
      </c>
      <c r="AV63" s="40">
        <f>AW63+AX63</f>
        <v>0</v>
      </c>
      <c r="AW63" s="40">
        <f>G63*AO63</f>
        <v>0</v>
      </c>
      <c r="AX63" s="40">
        <f>G63*AP63</f>
        <v>0</v>
      </c>
      <c r="AY63" s="43" t="s">
        <v>532</v>
      </c>
      <c r="AZ63" s="43" t="s">
        <v>551</v>
      </c>
      <c r="BA63" s="39" t="s">
        <v>557</v>
      </c>
      <c r="BC63" s="40">
        <f>AW63+AX63</f>
        <v>0</v>
      </c>
      <c r="BD63" s="40">
        <f>H63/(100-BE63)*100</f>
        <v>0</v>
      </c>
      <c r="BE63" s="40">
        <v>0</v>
      </c>
      <c r="BF63" s="40">
        <f>63</f>
        <v>63</v>
      </c>
      <c r="BH63" s="21">
        <f>G63*AO63</f>
        <v>0</v>
      </c>
      <c r="BI63" s="21">
        <f>G63*AP63</f>
        <v>0</v>
      </c>
      <c r="BJ63" s="21">
        <f>G63*H63</f>
        <v>0</v>
      </c>
      <c r="BK63" s="21" t="s">
        <v>562</v>
      </c>
      <c r="BL63" s="40">
        <v>62</v>
      </c>
    </row>
    <row r="64" spans="1:64" x14ac:dyDescent="0.25">
      <c r="A64" s="5"/>
      <c r="C64" s="87" t="s">
        <v>268</v>
      </c>
      <c r="D64" s="88"/>
      <c r="E64" s="88"/>
      <c r="G64" s="22">
        <v>2.3450000000000002</v>
      </c>
      <c r="L64" s="34"/>
      <c r="M64" s="5"/>
    </row>
    <row r="65" spans="1:64" x14ac:dyDescent="0.25">
      <c r="A65" s="5"/>
      <c r="C65" s="87" t="s">
        <v>269</v>
      </c>
      <c r="D65" s="88"/>
      <c r="E65" s="88"/>
      <c r="G65" s="22">
        <v>0.11724999999999999</v>
      </c>
      <c r="L65" s="34"/>
      <c r="M65" s="5"/>
    </row>
    <row r="66" spans="1:64" x14ac:dyDescent="0.25">
      <c r="A66" s="5"/>
      <c r="C66" s="87" t="s">
        <v>270</v>
      </c>
      <c r="D66" s="88"/>
      <c r="E66" s="88"/>
      <c r="G66" s="22">
        <v>0.53774999999999995</v>
      </c>
      <c r="L66" s="34"/>
      <c r="M66" s="5"/>
    </row>
    <row r="67" spans="1:64" x14ac:dyDescent="0.25">
      <c r="A67" s="4" t="s">
        <v>21</v>
      </c>
      <c r="B67" s="14" t="s">
        <v>118</v>
      </c>
      <c r="C67" s="85" t="s">
        <v>271</v>
      </c>
      <c r="D67" s="86"/>
      <c r="E67" s="86"/>
      <c r="F67" s="14" t="s">
        <v>495</v>
      </c>
      <c r="G67" s="64">
        <v>82</v>
      </c>
      <c r="H67" s="21">
        <v>0</v>
      </c>
      <c r="I67" s="21">
        <f>G67*AO67</f>
        <v>0</v>
      </c>
      <c r="J67" s="21">
        <f>G67*AP67</f>
        <v>0</v>
      </c>
      <c r="K67" s="21">
        <f>G67*H67</f>
        <v>0</v>
      </c>
      <c r="L67" s="33" t="s">
        <v>517</v>
      </c>
      <c r="M67" s="5"/>
      <c r="Z67" s="40">
        <f>IF(AQ67="5",BJ67,0)</f>
        <v>0</v>
      </c>
      <c r="AB67" s="40">
        <f>IF(AQ67="1",BH67,0)</f>
        <v>0</v>
      </c>
      <c r="AC67" s="40">
        <f>IF(AQ67="1",BI67,0)</f>
        <v>0</v>
      </c>
      <c r="AD67" s="40">
        <f>IF(AQ67="7",BH67,0)</f>
        <v>0</v>
      </c>
      <c r="AE67" s="40">
        <f>IF(AQ67="7",BI67,0)</f>
        <v>0</v>
      </c>
      <c r="AF67" s="40">
        <f>IF(AQ67="2",BH67,0)</f>
        <v>0</v>
      </c>
      <c r="AG67" s="40">
        <f>IF(AQ67="2",BI67,0)</f>
        <v>0</v>
      </c>
      <c r="AH67" s="40">
        <f>IF(AQ67="0",BJ67,0)</f>
        <v>0</v>
      </c>
      <c r="AI67" s="39"/>
      <c r="AJ67" s="21">
        <f>IF(AN67=0,K67,0)</f>
        <v>0</v>
      </c>
      <c r="AK67" s="21">
        <f>IF(AN67=15,K67,0)</f>
        <v>0</v>
      </c>
      <c r="AL67" s="21">
        <f>IF(AN67=21,K67,0)</f>
        <v>0</v>
      </c>
      <c r="AN67" s="40">
        <v>15</v>
      </c>
      <c r="AO67" s="40">
        <f>H67*0.309178217821782</f>
        <v>0</v>
      </c>
      <c r="AP67" s="40">
        <f>H67*(1-0.309178217821782)</f>
        <v>0</v>
      </c>
      <c r="AQ67" s="41" t="s">
        <v>7</v>
      </c>
      <c r="AV67" s="40">
        <f>AW67+AX67</f>
        <v>0</v>
      </c>
      <c r="AW67" s="40">
        <f>G67*AO67</f>
        <v>0</v>
      </c>
      <c r="AX67" s="40">
        <f>G67*AP67</f>
        <v>0</v>
      </c>
      <c r="AY67" s="43" t="s">
        <v>532</v>
      </c>
      <c r="AZ67" s="43" t="s">
        <v>551</v>
      </c>
      <c r="BA67" s="39" t="s">
        <v>557</v>
      </c>
      <c r="BC67" s="40">
        <f>AW67+AX67</f>
        <v>0</v>
      </c>
      <c r="BD67" s="40">
        <f>H67/(100-BE67)*100</f>
        <v>0</v>
      </c>
      <c r="BE67" s="40">
        <v>0</v>
      </c>
      <c r="BF67" s="40">
        <f>67</f>
        <v>67</v>
      </c>
      <c r="BH67" s="21">
        <f>G67*AO67</f>
        <v>0</v>
      </c>
      <c r="BI67" s="21">
        <f>G67*AP67</f>
        <v>0</v>
      </c>
      <c r="BJ67" s="21">
        <f>G67*H67</f>
        <v>0</v>
      </c>
      <c r="BK67" s="21" t="s">
        <v>562</v>
      </c>
      <c r="BL67" s="40">
        <v>62</v>
      </c>
    </row>
    <row r="68" spans="1:64" x14ac:dyDescent="0.25">
      <c r="A68" s="5"/>
      <c r="C68" s="87" t="s">
        <v>272</v>
      </c>
      <c r="D68" s="88"/>
      <c r="E68" s="88"/>
      <c r="G68" s="22">
        <v>36.72</v>
      </c>
      <c r="L68" s="34"/>
      <c r="M68" s="5"/>
    </row>
    <row r="69" spans="1:64" x14ac:dyDescent="0.25">
      <c r="A69" s="5"/>
      <c r="C69" s="87" t="s">
        <v>273</v>
      </c>
      <c r="D69" s="88"/>
      <c r="E69" s="88"/>
      <c r="G69" s="22">
        <v>19.440000000000001</v>
      </c>
      <c r="L69" s="34"/>
      <c r="M69" s="5"/>
    </row>
    <row r="70" spans="1:64" x14ac:dyDescent="0.25">
      <c r="A70" s="5"/>
      <c r="C70" s="87" t="s">
        <v>274</v>
      </c>
      <c r="D70" s="88"/>
      <c r="E70" s="88"/>
      <c r="G70" s="22">
        <v>21.6</v>
      </c>
      <c r="L70" s="34"/>
      <c r="M70" s="5"/>
    </row>
    <row r="71" spans="1:64" x14ac:dyDescent="0.25">
      <c r="A71" s="5"/>
      <c r="C71" s="87" t="s">
        <v>275</v>
      </c>
      <c r="D71" s="88"/>
      <c r="E71" s="88"/>
      <c r="G71" s="22">
        <v>0</v>
      </c>
      <c r="L71" s="34"/>
      <c r="M71" s="5"/>
    </row>
    <row r="72" spans="1:64" x14ac:dyDescent="0.25">
      <c r="A72" s="5"/>
      <c r="C72" s="87" t="s">
        <v>276</v>
      </c>
      <c r="D72" s="88"/>
      <c r="E72" s="88"/>
      <c r="G72" s="22">
        <v>3.8879999999999999</v>
      </c>
      <c r="L72" s="34"/>
      <c r="M72" s="5"/>
    </row>
    <row r="73" spans="1:64" x14ac:dyDescent="0.25">
      <c r="A73" s="5"/>
      <c r="C73" s="87" t="s">
        <v>277</v>
      </c>
      <c r="D73" s="88"/>
      <c r="E73" s="88"/>
      <c r="G73" s="22">
        <v>0.35199999999999998</v>
      </c>
      <c r="L73" s="34"/>
      <c r="M73" s="5"/>
    </row>
    <row r="74" spans="1:64" x14ac:dyDescent="0.25">
      <c r="A74" s="4" t="s">
        <v>22</v>
      </c>
      <c r="B74" s="14" t="s">
        <v>119</v>
      </c>
      <c r="C74" s="85" t="s">
        <v>278</v>
      </c>
      <c r="D74" s="86"/>
      <c r="E74" s="86"/>
      <c r="F74" s="14" t="s">
        <v>495</v>
      </c>
      <c r="G74" s="64">
        <v>33</v>
      </c>
      <c r="H74" s="21">
        <v>0</v>
      </c>
      <c r="I74" s="21">
        <f>G74*AO74</f>
        <v>0</v>
      </c>
      <c r="J74" s="21">
        <f>G74*AP74</f>
        <v>0</v>
      </c>
      <c r="K74" s="21">
        <f>G74*H74</f>
        <v>0</v>
      </c>
      <c r="L74" s="33" t="s">
        <v>517</v>
      </c>
      <c r="M74" s="5"/>
      <c r="Z74" s="40">
        <f>IF(AQ74="5",BJ74,0)</f>
        <v>0</v>
      </c>
      <c r="AB74" s="40">
        <f>IF(AQ74="1",BH74,0)</f>
        <v>0</v>
      </c>
      <c r="AC74" s="40">
        <f>IF(AQ74="1",BI74,0)</f>
        <v>0</v>
      </c>
      <c r="AD74" s="40">
        <f>IF(AQ74="7",BH74,0)</f>
        <v>0</v>
      </c>
      <c r="AE74" s="40">
        <f>IF(AQ74="7",BI74,0)</f>
        <v>0</v>
      </c>
      <c r="AF74" s="40">
        <f>IF(AQ74="2",BH74,0)</f>
        <v>0</v>
      </c>
      <c r="AG74" s="40">
        <f>IF(AQ74="2",BI74,0)</f>
        <v>0</v>
      </c>
      <c r="AH74" s="40">
        <f>IF(AQ74="0",BJ74,0)</f>
        <v>0</v>
      </c>
      <c r="AI74" s="39"/>
      <c r="AJ74" s="21">
        <f>IF(AN74=0,K74,0)</f>
        <v>0</v>
      </c>
      <c r="AK74" s="21">
        <f>IF(AN74=15,K74,0)</f>
        <v>0</v>
      </c>
      <c r="AL74" s="21">
        <f>IF(AN74=21,K74,0)</f>
        <v>0</v>
      </c>
      <c r="AN74" s="40">
        <v>15</v>
      </c>
      <c r="AO74" s="40">
        <f>H74*0.311423290203327</f>
        <v>0</v>
      </c>
      <c r="AP74" s="40">
        <f>H74*(1-0.311423290203327)</f>
        <v>0</v>
      </c>
      <c r="AQ74" s="41" t="s">
        <v>7</v>
      </c>
      <c r="AV74" s="40">
        <f>AW74+AX74</f>
        <v>0</v>
      </c>
      <c r="AW74" s="40">
        <f>G74*AO74</f>
        <v>0</v>
      </c>
      <c r="AX74" s="40">
        <f>G74*AP74</f>
        <v>0</v>
      </c>
      <c r="AY74" s="43" t="s">
        <v>532</v>
      </c>
      <c r="AZ74" s="43" t="s">
        <v>551</v>
      </c>
      <c r="BA74" s="39" t="s">
        <v>557</v>
      </c>
      <c r="BC74" s="40">
        <f>AW74+AX74</f>
        <v>0</v>
      </c>
      <c r="BD74" s="40">
        <f>H74/(100-BE74)*100</f>
        <v>0</v>
      </c>
      <c r="BE74" s="40">
        <v>0</v>
      </c>
      <c r="BF74" s="40">
        <f>74</f>
        <v>74</v>
      </c>
      <c r="BH74" s="21">
        <f>G74*AO74</f>
        <v>0</v>
      </c>
      <c r="BI74" s="21">
        <f>G74*AP74</f>
        <v>0</v>
      </c>
      <c r="BJ74" s="21">
        <f>G74*H74</f>
        <v>0</v>
      </c>
      <c r="BK74" s="21" t="s">
        <v>562</v>
      </c>
      <c r="BL74" s="40">
        <v>62</v>
      </c>
    </row>
    <row r="75" spans="1:64" x14ac:dyDescent="0.25">
      <c r="A75" s="5"/>
      <c r="C75" s="87" t="s">
        <v>279</v>
      </c>
      <c r="D75" s="88"/>
      <c r="E75" s="88"/>
      <c r="G75" s="22">
        <v>15.12</v>
      </c>
      <c r="L75" s="34"/>
      <c r="M75" s="5"/>
    </row>
    <row r="76" spans="1:64" x14ac:dyDescent="0.25">
      <c r="A76" s="5"/>
      <c r="C76" s="87" t="s">
        <v>280</v>
      </c>
      <c r="D76" s="88"/>
      <c r="E76" s="88"/>
      <c r="G76" s="22">
        <v>16.2</v>
      </c>
      <c r="L76" s="34"/>
      <c r="M76" s="5"/>
    </row>
    <row r="77" spans="1:64" x14ac:dyDescent="0.25">
      <c r="A77" s="5"/>
      <c r="C77" s="87" t="s">
        <v>281</v>
      </c>
      <c r="D77" s="88"/>
      <c r="E77" s="88"/>
      <c r="G77" s="22">
        <v>0</v>
      </c>
      <c r="L77" s="34"/>
      <c r="M77" s="5"/>
    </row>
    <row r="78" spans="1:64" x14ac:dyDescent="0.25">
      <c r="A78" s="5"/>
      <c r="C78" s="87" t="s">
        <v>282</v>
      </c>
      <c r="D78" s="88"/>
      <c r="E78" s="88"/>
      <c r="G78" s="22">
        <v>1.5660000000000001</v>
      </c>
      <c r="L78" s="34"/>
      <c r="M78" s="5"/>
    </row>
    <row r="79" spans="1:64" x14ac:dyDescent="0.25">
      <c r="A79" s="5"/>
      <c r="C79" s="87" t="s">
        <v>283</v>
      </c>
      <c r="D79" s="88"/>
      <c r="E79" s="88"/>
      <c r="G79" s="22">
        <v>0.114</v>
      </c>
      <c r="L79" s="34"/>
      <c r="M79" s="5"/>
    </row>
    <row r="80" spans="1:64" x14ac:dyDescent="0.25">
      <c r="A80" s="4" t="s">
        <v>23</v>
      </c>
      <c r="B80" s="14" t="s">
        <v>120</v>
      </c>
      <c r="C80" s="85" t="s">
        <v>284</v>
      </c>
      <c r="D80" s="86"/>
      <c r="E80" s="86"/>
      <c r="F80" s="14" t="s">
        <v>495</v>
      </c>
      <c r="G80" s="64">
        <v>3</v>
      </c>
      <c r="H80" s="21">
        <v>0</v>
      </c>
      <c r="I80" s="21">
        <f>G80*AO80</f>
        <v>0</v>
      </c>
      <c r="J80" s="21">
        <f>G80*AP80</f>
        <v>0</v>
      </c>
      <c r="K80" s="21">
        <f>G80*H80</f>
        <v>0</v>
      </c>
      <c r="L80" s="33" t="s">
        <v>517</v>
      </c>
      <c r="M80" s="5"/>
      <c r="Z80" s="40">
        <f>IF(AQ80="5",BJ80,0)</f>
        <v>0</v>
      </c>
      <c r="AB80" s="40">
        <f>IF(AQ80="1",BH80,0)</f>
        <v>0</v>
      </c>
      <c r="AC80" s="40">
        <f>IF(AQ80="1",BI80,0)</f>
        <v>0</v>
      </c>
      <c r="AD80" s="40">
        <f>IF(AQ80="7",BH80,0)</f>
        <v>0</v>
      </c>
      <c r="AE80" s="40">
        <f>IF(AQ80="7",BI80,0)</f>
        <v>0</v>
      </c>
      <c r="AF80" s="40">
        <f>IF(AQ80="2",BH80,0)</f>
        <v>0</v>
      </c>
      <c r="AG80" s="40">
        <f>IF(AQ80="2",BI80,0)</f>
        <v>0</v>
      </c>
      <c r="AH80" s="40">
        <f>IF(AQ80="0",BJ80,0)</f>
        <v>0</v>
      </c>
      <c r="AI80" s="39"/>
      <c r="AJ80" s="21">
        <f>IF(AN80=0,K80,0)</f>
        <v>0</v>
      </c>
      <c r="AK80" s="21">
        <f>IF(AN80=15,K80,0)</f>
        <v>0</v>
      </c>
      <c r="AL80" s="21">
        <f>IF(AN80=21,K80,0)</f>
        <v>0</v>
      </c>
      <c r="AN80" s="40">
        <v>15</v>
      </c>
      <c r="AO80" s="40">
        <f>H80*0.54284</f>
        <v>0</v>
      </c>
      <c r="AP80" s="40">
        <f>H80*(1-0.54284)</f>
        <v>0</v>
      </c>
      <c r="AQ80" s="41" t="s">
        <v>7</v>
      </c>
      <c r="AV80" s="40">
        <f>AW80+AX80</f>
        <v>0</v>
      </c>
      <c r="AW80" s="40">
        <f>G80*AO80</f>
        <v>0</v>
      </c>
      <c r="AX80" s="40">
        <f>G80*AP80</f>
        <v>0</v>
      </c>
      <c r="AY80" s="43" t="s">
        <v>532</v>
      </c>
      <c r="AZ80" s="43" t="s">
        <v>551</v>
      </c>
      <c r="BA80" s="39" t="s">
        <v>557</v>
      </c>
      <c r="BC80" s="40">
        <f>AW80+AX80</f>
        <v>0</v>
      </c>
      <c r="BD80" s="40">
        <f>H80/(100-BE80)*100</f>
        <v>0</v>
      </c>
      <c r="BE80" s="40">
        <v>0</v>
      </c>
      <c r="BF80" s="40">
        <f>80</f>
        <v>80</v>
      </c>
      <c r="BH80" s="21">
        <f>G80*AO80</f>
        <v>0</v>
      </c>
      <c r="BI80" s="21">
        <f>G80*AP80</f>
        <v>0</v>
      </c>
      <c r="BJ80" s="21">
        <f>G80*H80</f>
        <v>0</v>
      </c>
      <c r="BK80" s="21" t="s">
        <v>562</v>
      </c>
      <c r="BL80" s="40">
        <v>62</v>
      </c>
    </row>
    <row r="81" spans="1:64" x14ac:dyDescent="0.25">
      <c r="A81" s="5"/>
      <c r="C81" s="87" t="s">
        <v>285</v>
      </c>
      <c r="D81" s="88"/>
      <c r="E81" s="88"/>
      <c r="G81" s="22">
        <v>2.34</v>
      </c>
      <c r="L81" s="34"/>
      <c r="M81" s="5"/>
    </row>
    <row r="82" spans="1:64" x14ac:dyDescent="0.25">
      <c r="A82" s="5"/>
      <c r="C82" s="87" t="s">
        <v>286</v>
      </c>
      <c r="D82" s="88"/>
      <c r="E82" s="88"/>
      <c r="G82" s="22">
        <v>0.11700000000000001</v>
      </c>
      <c r="L82" s="34"/>
      <c r="M82" s="5"/>
    </row>
    <row r="83" spans="1:64" x14ac:dyDescent="0.25">
      <c r="A83" s="5"/>
      <c r="C83" s="87" t="s">
        <v>287</v>
      </c>
      <c r="D83" s="88"/>
      <c r="E83" s="88"/>
      <c r="G83" s="22">
        <v>0.54300000000000004</v>
      </c>
      <c r="L83" s="34"/>
      <c r="M83" s="5"/>
    </row>
    <row r="84" spans="1:64" x14ac:dyDescent="0.25">
      <c r="A84" s="4" t="s">
        <v>24</v>
      </c>
      <c r="B84" s="14" t="s">
        <v>121</v>
      </c>
      <c r="C84" s="85" t="s">
        <v>288</v>
      </c>
      <c r="D84" s="86"/>
      <c r="E84" s="86"/>
      <c r="F84" s="14" t="s">
        <v>495</v>
      </c>
      <c r="G84" s="64">
        <v>42</v>
      </c>
      <c r="H84" s="21">
        <v>0</v>
      </c>
      <c r="I84" s="21">
        <f>G84*AO84</f>
        <v>0</v>
      </c>
      <c r="J84" s="21">
        <f>G84*AP84</f>
        <v>0</v>
      </c>
      <c r="K84" s="21">
        <f>G84*H84</f>
        <v>0</v>
      </c>
      <c r="L84" s="33" t="s">
        <v>517</v>
      </c>
      <c r="M84" s="5"/>
      <c r="Z84" s="40">
        <f>IF(AQ84="5",BJ84,0)</f>
        <v>0</v>
      </c>
      <c r="AB84" s="40">
        <f>IF(AQ84="1",BH84,0)</f>
        <v>0</v>
      </c>
      <c r="AC84" s="40">
        <f>IF(AQ84="1",BI84,0)</f>
        <v>0</v>
      </c>
      <c r="AD84" s="40">
        <f>IF(AQ84="7",BH84,0)</f>
        <v>0</v>
      </c>
      <c r="AE84" s="40">
        <f>IF(AQ84="7",BI84,0)</f>
        <v>0</v>
      </c>
      <c r="AF84" s="40">
        <f>IF(AQ84="2",BH84,0)</f>
        <v>0</v>
      </c>
      <c r="AG84" s="40">
        <f>IF(AQ84="2",BI84,0)</f>
        <v>0</v>
      </c>
      <c r="AH84" s="40">
        <f>IF(AQ84="0",BJ84,0)</f>
        <v>0</v>
      </c>
      <c r="AI84" s="39"/>
      <c r="AJ84" s="21">
        <f>IF(AN84=0,K84,0)</f>
        <v>0</v>
      </c>
      <c r="AK84" s="21">
        <f>IF(AN84=15,K84,0)</f>
        <v>0</v>
      </c>
      <c r="AL84" s="21">
        <f>IF(AN84=21,K84,0)</f>
        <v>0</v>
      </c>
      <c r="AN84" s="40">
        <v>15</v>
      </c>
      <c r="AO84" s="40">
        <f>H84*0.42322641509434</f>
        <v>0</v>
      </c>
      <c r="AP84" s="40">
        <f>H84*(1-0.42322641509434)</f>
        <v>0</v>
      </c>
      <c r="AQ84" s="41" t="s">
        <v>7</v>
      </c>
      <c r="AV84" s="40">
        <f>AW84+AX84</f>
        <v>0</v>
      </c>
      <c r="AW84" s="40">
        <f>G84*AO84</f>
        <v>0</v>
      </c>
      <c r="AX84" s="40">
        <f>G84*AP84</f>
        <v>0</v>
      </c>
      <c r="AY84" s="43" t="s">
        <v>532</v>
      </c>
      <c r="AZ84" s="43" t="s">
        <v>551</v>
      </c>
      <c r="BA84" s="39" t="s">
        <v>557</v>
      </c>
      <c r="BC84" s="40">
        <f>AW84+AX84</f>
        <v>0</v>
      </c>
      <c r="BD84" s="40">
        <f>H84/(100-BE84)*100</f>
        <v>0</v>
      </c>
      <c r="BE84" s="40">
        <v>0</v>
      </c>
      <c r="BF84" s="40">
        <f>84</f>
        <v>84</v>
      </c>
      <c r="BH84" s="21">
        <f>G84*AO84</f>
        <v>0</v>
      </c>
      <c r="BI84" s="21">
        <f>G84*AP84</f>
        <v>0</v>
      </c>
      <c r="BJ84" s="21">
        <f>G84*H84</f>
        <v>0</v>
      </c>
      <c r="BK84" s="21" t="s">
        <v>562</v>
      </c>
      <c r="BL84" s="40">
        <v>62</v>
      </c>
    </row>
    <row r="85" spans="1:64" x14ac:dyDescent="0.25">
      <c r="A85" s="5"/>
      <c r="C85" s="87" t="s">
        <v>289</v>
      </c>
      <c r="D85" s="88"/>
      <c r="E85" s="88"/>
      <c r="G85" s="22">
        <v>39.555</v>
      </c>
      <c r="L85" s="34"/>
      <c r="M85" s="5"/>
    </row>
    <row r="86" spans="1:64" x14ac:dyDescent="0.25">
      <c r="A86" s="5"/>
      <c r="C86" s="87" t="s">
        <v>290</v>
      </c>
      <c r="D86" s="88"/>
      <c r="E86" s="88"/>
      <c r="G86" s="22">
        <v>1.9777499999999999</v>
      </c>
      <c r="L86" s="34"/>
      <c r="M86" s="5"/>
    </row>
    <row r="87" spans="1:64" x14ac:dyDescent="0.25">
      <c r="A87" s="5"/>
      <c r="C87" s="87" t="s">
        <v>291</v>
      </c>
      <c r="D87" s="88"/>
      <c r="E87" s="88"/>
      <c r="G87" s="22">
        <v>0.46725</v>
      </c>
      <c r="L87" s="34"/>
      <c r="M87" s="5"/>
    </row>
    <row r="88" spans="1:64" x14ac:dyDescent="0.25">
      <c r="A88" s="4" t="s">
        <v>25</v>
      </c>
      <c r="B88" s="14" t="s">
        <v>122</v>
      </c>
      <c r="C88" s="85" t="s">
        <v>292</v>
      </c>
      <c r="D88" s="86"/>
      <c r="E88" s="86"/>
      <c r="F88" s="14" t="s">
        <v>495</v>
      </c>
      <c r="G88" s="21">
        <v>930.98</v>
      </c>
      <c r="H88" s="21">
        <v>0</v>
      </c>
      <c r="I88" s="21">
        <f>G88*AO88</f>
        <v>0</v>
      </c>
      <c r="J88" s="21">
        <f>G88*AP88</f>
        <v>0</v>
      </c>
      <c r="K88" s="21">
        <f>G88*H88</f>
        <v>0</v>
      </c>
      <c r="L88" s="33" t="s">
        <v>517</v>
      </c>
      <c r="M88" s="5"/>
      <c r="Z88" s="40">
        <f>IF(AQ88="5",BJ88,0)</f>
        <v>0</v>
      </c>
      <c r="AB88" s="40">
        <f>IF(AQ88="1",BH88,0)</f>
        <v>0</v>
      </c>
      <c r="AC88" s="40">
        <f>IF(AQ88="1",BI88,0)</f>
        <v>0</v>
      </c>
      <c r="AD88" s="40">
        <f>IF(AQ88="7",BH88,0)</f>
        <v>0</v>
      </c>
      <c r="AE88" s="40">
        <f>IF(AQ88="7",BI88,0)</f>
        <v>0</v>
      </c>
      <c r="AF88" s="40">
        <f>IF(AQ88="2",BH88,0)</f>
        <v>0</v>
      </c>
      <c r="AG88" s="40">
        <f>IF(AQ88="2",BI88,0)</f>
        <v>0</v>
      </c>
      <c r="AH88" s="40">
        <f>IF(AQ88="0",BJ88,0)</f>
        <v>0</v>
      </c>
      <c r="AI88" s="39"/>
      <c r="AJ88" s="21">
        <f>IF(AN88=0,K88,0)</f>
        <v>0</v>
      </c>
      <c r="AK88" s="21">
        <f>IF(AN88=15,K88,0)</f>
        <v>0</v>
      </c>
      <c r="AL88" s="21">
        <f>IF(AN88=21,K88,0)</f>
        <v>0</v>
      </c>
      <c r="AN88" s="40">
        <v>15</v>
      </c>
      <c r="AO88" s="40">
        <f>H88*0.0677530067084739</f>
        <v>0</v>
      </c>
      <c r="AP88" s="40">
        <f>H88*(1-0.0677530067084739)</f>
        <v>0</v>
      </c>
      <c r="AQ88" s="41" t="s">
        <v>7</v>
      </c>
      <c r="AV88" s="40">
        <f>AW88+AX88</f>
        <v>0</v>
      </c>
      <c r="AW88" s="40">
        <f>G88*AO88</f>
        <v>0</v>
      </c>
      <c r="AX88" s="40">
        <f>G88*AP88</f>
        <v>0</v>
      </c>
      <c r="AY88" s="43" t="s">
        <v>532</v>
      </c>
      <c r="AZ88" s="43" t="s">
        <v>551</v>
      </c>
      <c r="BA88" s="39" t="s">
        <v>557</v>
      </c>
      <c r="BC88" s="40">
        <f>AW88+AX88</f>
        <v>0</v>
      </c>
      <c r="BD88" s="40">
        <f>H88/(100-BE88)*100</f>
        <v>0</v>
      </c>
      <c r="BE88" s="40">
        <v>0</v>
      </c>
      <c r="BF88" s="40">
        <f>88</f>
        <v>88</v>
      </c>
      <c r="BH88" s="21">
        <f>G88*AO88</f>
        <v>0</v>
      </c>
      <c r="BI88" s="21">
        <f>G88*AP88</f>
        <v>0</v>
      </c>
      <c r="BJ88" s="21">
        <f>G88*H88</f>
        <v>0</v>
      </c>
      <c r="BK88" s="21" t="s">
        <v>562</v>
      </c>
      <c r="BL88" s="40">
        <v>62</v>
      </c>
    </row>
    <row r="89" spans="1:64" x14ac:dyDescent="0.25">
      <c r="A89" s="5"/>
      <c r="C89" s="87" t="s">
        <v>293</v>
      </c>
      <c r="D89" s="88"/>
      <c r="E89" s="88"/>
      <c r="G89" s="22">
        <v>87.55</v>
      </c>
      <c r="L89" s="34"/>
      <c r="M89" s="5"/>
    </row>
    <row r="90" spans="1:64" x14ac:dyDescent="0.25">
      <c r="A90" s="5"/>
      <c r="C90" s="87" t="s">
        <v>294</v>
      </c>
      <c r="D90" s="88"/>
      <c r="E90" s="88"/>
      <c r="G90" s="22">
        <v>594.34</v>
      </c>
      <c r="L90" s="34"/>
      <c r="M90" s="5"/>
    </row>
    <row r="91" spans="1:64" x14ac:dyDescent="0.25">
      <c r="A91" s="5"/>
      <c r="C91" s="87" t="s">
        <v>295</v>
      </c>
      <c r="D91" s="88"/>
      <c r="E91" s="88"/>
      <c r="G91" s="22">
        <v>95.77</v>
      </c>
      <c r="L91" s="34"/>
      <c r="M91" s="5"/>
    </row>
    <row r="92" spans="1:64" x14ac:dyDescent="0.25">
      <c r="A92" s="5"/>
      <c r="C92" s="87" t="s">
        <v>296</v>
      </c>
      <c r="D92" s="88"/>
      <c r="E92" s="88"/>
      <c r="G92" s="22">
        <v>2.3450000000000002</v>
      </c>
      <c r="L92" s="34"/>
      <c r="M92" s="5"/>
    </row>
    <row r="93" spans="1:64" x14ac:dyDescent="0.25">
      <c r="A93" s="5"/>
      <c r="C93" s="87" t="s">
        <v>297</v>
      </c>
      <c r="D93" s="88"/>
      <c r="E93" s="88"/>
      <c r="G93" s="22">
        <v>77.760000000000005</v>
      </c>
      <c r="L93" s="34"/>
      <c r="M93" s="5"/>
    </row>
    <row r="94" spans="1:64" x14ac:dyDescent="0.25">
      <c r="A94" s="5"/>
      <c r="C94" s="87" t="s">
        <v>298</v>
      </c>
      <c r="D94" s="88"/>
      <c r="E94" s="88"/>
      <c r="G94" s="22">
        <v>31.32</v>
      </c>
      <c r="L94" s="34"/>
      <c r="M94" s="5"/>
    </row>
    <row r="95" spans="1:64" x14ac:dyDescent="0.25">
      <c r="A95" s="5"/>
      <c r="C95" s="87" t="s">
        <v>299</v>
      </c>
      <c r="D95" s="88"/>
      <c r="E95" s="88"/>
      <c r="G95" s="22">
        <v>2.34</v>
      </c>
      <c r="L95" s="34"/>
      <c r="M95" s="5"/>
    </row>
    <row r="96" spans="1:64" x14ac:dyDescent="0.25">
      <c r="A96" s="5"/>
      <c r="C96" s="87" t="s">
        <v>300</v>
      </c>
      <c r="D96" s="88"/>
      <c r="E96" s="88"/>
      <c r="G96" s="22">
        <v>39.555</v>
      </c>
      <c r="L96" s="34"/>
      <c r="M96" s="5"/>
    </row>
    <row r="97" spans="1:64" x14ac:dyDescent="0.25">
      <c r="A97" s="4" t="s">
        <v>26</v>
      </c>
      <c r="B97" s="14" t="s">
        <v>123</v>
      </c>
      <c r="C97" s="85" t="s">
        <v>301</v>
      </c>
      <c r="D97" s="86"/>
      <c r="E97" s="86"/>
      <c r="F97" s="14" t="s">
        <v>495</v>
      </c>
      <c r="G97" s="21">
        <v>930.98</v>
      </c>
      <c r="H97" s="21">
        <v>0</v>
      </c>
      <c r="I97" s="21">
        <f>G97*AO97</f>
        <v>0</v>
      </c>
      <c r="J97" s="21">
        <f>G97*AP97</f>
        <v>0</v>
      </c>
      <c r="K97" s="21">
        <f>G97*H97</f>
        <v>0</v>
      </c>
      <c r="L97" s="33" t="s">
        <v>517</v>
      </c>
      <c r="M97" s="5"/>
      <c r="Z97" s="40">
        <f>IF(AQ97="5",BJ97,0)</f>
        <v>0</v>
      </c>
      <c r="AB97" s="40">
        <f>IF(AQ97="1",BH97,0)</f>
        <v>0</v>
      </c>
      <c r="AC97" s="40">
        <f>IF(AQ97="1",BI97,0)</f>
        <v>0</v>
      </c>
      <c r="AD97" s="40">
        <f>IF(AQ97="7",BH97,0)</f>
        <v>0</v>
      </c>
      <c r="AE97" s="40">
        <f>IF(AQ97="7",BI97,0)</f>
        <v>0</v>
      </c>
      <c r="AF97" s="40">
        <f>IF(AQ97="2",BH97,0)</f>
        <v>0</v>
      </c>
      <c r="AG97" s="40">
        <f>IF(AQ97="2",BI97,0)</f>
        <v>0</v>
      </c>
      <c r="AH97" s="40">
        <f>IF(AQ97="0",BJ97,0)</f>
        <v>0</v>
      </c>
      <c r="AI97" s="39"/>
      <c r="AJ97" s="21">
        <f>IF(AN97=0,K97,0)</f>
        <v>0</v>
      </c>
      <c r="AK97" s="21">
        <f>IF(AN97=15,K97,0)</f>
        <v>0</v>
      </c>
      <c r="AL97" s="21">
        <f>IF(AN97=21,K97,0)</f>
        <v>0</v>
      </c>
      <c r="AN97" s="40">
        <v>15</v>
      </c>
      <c r="AO97" s="40">
        <f>H97*0.20906893234991</f>
        <v>0</v>
      </c>
      <c r="AP97" s="40">
        <f>H97*(1-0.20906893234991)</f>
        <v>0</v>
      </c>
      <c r="AQ97" s="41" t="s">
        <v>7</v>
      </c>
      <c r="AV97" s="40">
        <f>AW97+AX97</f>
        <v>0</v>
      </c>
      <c r="AW97" s="40">
        <f>G97*AO97</f>
        <v>0</v>
      </c>
      <c r="AX97" s="40">
        <f>G97*AP97</f>
        <v>0</v>
      </c>
      <c r="AY97" s="43" t="s">
        <v>532</v>
      </c>
      <c r="AZ97" s="43" t="s">
        <v>551</v>
      </c>
      <c r="BA97" s="39" t="s">
        <v>557</v>
      </c>
      <c r="BC97" s="40">
        <f>AW97+AX97</f>
        <v>0</v>
      </c>
      <c r="BD97" s="40">
        <f>H97/(100-BE97)*100</f>
        <v>0</v>
      </c>
      <c r="BE97" s="40">
        <v>0</v>
      </c>
      <c r="BF97" s="40">
        <f>97</f>
        <v>97</v>
      </c>
      <c r="BH97" s="21">
        <f>G97*AO97</f>
        <v>0</v>
      </c>
      <c r="BI97" s="21">
        <f>G97*AP97</f>
        <v>0</v>
      </c>
      <c r="BJ97" s="21">
        <f>G97*H97</f>
        <v>0</v>
      </c>
      <c r="BK97" s="21" t="s">
        <v>562</v>
      </c>
      <c r="BL97" s="40">
        <v>62</v>
      </c>
    </row>
    <row r="98" spans="1:64" x14ac:dyDescent="0.25">
      <c r="A98" s="5"/>
      <c r="C98" s="87" t="s">
        <v>302</v>
      </c>
      <c r="D98" s="88"/>
      <c r="E98" s="88"/>
      <c r="G98" s="22">
        <v>930.98</v>
      </c>
      <c r="L98" s="34"/>
      <c r="M98" s="5"/>
    </row>
    <row r="99" spans="1:64" x14ac:dyDescent="0.25">
      <c r="A99" s="4" t="s">
        <v>27</v>
      </c>
      <c r="B99" s="14" t="s">
        <v>124</v>
      </c>
      <c r="C99" s="85" t="s">
        <v>303</v>
      </c>
      <c r="D99" s="86"/>
      <c r="E99" s="86"/>
      <c r="F99" s="14" t="s">
        <v>496</v>
      </c>
      <c r="G99" s="21">
        <v>119</v>
      </c>
      <c r="H99" s="21">
        <v>0</v>
      </c>
      <c r="I99" s="21">
        <f>G99*AO99</f>
        <v>0</v>
      </c>
      <c r="J99" s="21">
        <f>G99*AP99</f>
        <v>0</v>
      </c>
      <c r="K99" s="21">
        <f>G99*H99</f>
        <v>0</v>
      </c>
      <c r="L99" s="33" t="s">
        <v>517</v>
      </c>
      <c r="M99" s="5"/>
      <c r="Z99" s="40">
        <f>IF(AQ99="5",BJ99,0)</f>
        <v>0</v>
      </c>
      <c r="AB99" s="40">
        <f>IF(AQ99="1",BH99,0)</f>
        <v>0</v>
      </c>
      <c r="AC99" s="40">
        <f>IF(AQ99="1",BI99,0)</f>
        <v>0</v>
      </c>
      <c r="AD99" s="40">
        <f>IF(AQ99="7",BH99,0)</f>
        <v>0</v>
      </c>
      <c r="AE99" s="40">
        <f>IF(AQ99="7",BI99,0)</f>
        <v>0</v>
      </c>
      <c r="AF99" s="40">
        <f>IF(AQ99="2",BH99,0)</f>
        <v>0</v>
      </c>
      <c r="AG99" s="40">
        <f>IF(AQ99="2",BI99,0)</f>
        <v>0</v>
      </c>
      <c r="AH99" s="40">
        <f>IF(AQ99="0",BJ99,0)</f>
        <v>0</v>
      </c>
      <c r="AI99" s="39"/>
      <c r="AJ99" s="21">
        <f>IF(AN99=0,K99,0)</f>
        <v>0</v>
      </c>
      <c r="AK99" s="21">
        <f>IF(AN99=15,K99,0)</f>
        <v>0</v>
      </c>
      <c r="AL99" s="21">
        <f>IF(AN99=21,K99,0)</f>
        <v>0</v>
      </c>
      <c r="AN99" s="40">
        <v>15</v>
      </c>
      <c r="AO99" s="40">
        <f>H99*0.274537037037037</f>
        <v>0</v>
      </c>
      <c r="AP99" s="40">
        <f>H99*(1-0.274537037037037)</f>
        <v>0</v>
      </c>
      <c r="AQ99" s="41" t="s">
        <v>7</v>
      </c>
      <c r="AV99" s="40">
        <f>AW99+AX99</f>
        <v>0</v>
      </c>
      <c r="AW99" s="40">
        <f>G99*AO99</f>
        <v>0</v>
      </c>
      <c r="AX99" s="40">
        <f>G99*AP99</f>
        <v>0</v>
      </c>
      <c r="AY99" s="43" t="s">
        <v>532</v>
      </c>
      <c r="AZ99" s="43" t="s">
        <v>551</v>
      </c>
      <c r="BA99" s="39" t="s">
        <v>557</v>
      </c>
      <c r="BC99" s="40">
        <f>AW99+AX99</f>
        <v>0</v>
      </c>
      <c r="BD99" s="40">
        <f>H99/(100-BE99)*100</f>
        <v>0</v>
      </c>
      <c r="BE99" s="40">
        <v>0</v>
      </c>
      <c r="BF99" s="40">
        <f>99</f>
        <v>99</v>
      </c>
      <c r="BH99" s="21">
        <f>G99*AO99</f>
        <v>0</v>
      </c>
      <c r="BI99" s="21">
        <f>G99*AP99</f>
        <v>0</v>
      </c>
      <c r="BJ99" s="21">
        <f>G99*H99</f>
        <v>0</v>
      </c>
      <c r="BK99" s="21" t="s">
        <v>562</v>
      </c>
      <c r="BL99" s="40">
        <v>62</v>
      </c>
    </row>
    <row r="100" spans="1:64" x14ac:dyDescent="0.25">
      <c r="A100" s="5"/>
      <c r="C100" s="87" t="s">
        <v>304</v>
      </c>
      <c r="D100" s="88"/>
      <c r="E100" s="88"/>
      <c r="G100" s="22">
        <v>15.3</v>
      </c>
      <c r="L100" s="34"/>
      <c r="M100" s="5"/>
    </row>
    <row r="101" spans="1:64" x14ac:dyDescent="0.25">
      <c r="A101" s="5"/>
      <c r="C101" s="87" t="s">
        <v>305</v>
      </c>
      <c r="D101" s="88"/>
      <c r="E101" s="88"/>
      <c r="G101" s="22">
        <v>50.4</v>
      </c>
      <c r="L101" s="34"/>
      <c r="M101" s="5"/>
    </row>
    <row r="102" spans="1:64" x14ac:dyDescent="0.25">
      <c r="A102" s="5"/>
      <c r="C102" s="87" t="s">
        <v>306</v>
      </c>
      <c r="D102" s="88"/>
      <c r="E102" s="88"/>
      <c r="G102" s="22">
        <v>21.6</v>
      </c>
      <c r="L102" s="34"/>
      <c r="M102" s="5"/>
    </row>
    <row r="103" spans="1:64" x14ac:dyDescent="0.25">
      <c r="A103" s="5"/>
      <c r="C103" s="87" t="s">
        <v>307</v>
      </c>
      <c r="D103" s="88"/>
      <c r="E103" s="88"/>
      <c r="G103" s="22">
        <v>10.8</v>
      </c>
      <c r="L103" s="34"/>
      <c r="M103" s="5"/>
    </row>
    <row r="104" spans="1:64" x14ac:dyDescent="0.25">
      <c r="A104" s="5"/>
      <c r="C104" s="87" t="s">
        <v>308</v>
      </c>
      <c r="D104" s="88"/>
      <c r="E104" s="88"/>
      <c r="G104" s="22">
        <v>7.2</v>
      </c>
      <c r="L104" s="34"/>
      <c r="M104" s="5"/>
    </row>
    <row r="105" spans="1:64" x14ac:dyDescent="0.25">
      <c r="A105" s="5"/>
      <c r="C105" s="87" t="s">
        <v>309</v>
      </c>
      <c r="D105" s="88"/>
      <c r="E105" s="88"/>
      <c r="G105" s="22">
        <v>2.7</v>
      </c>
      <c r="L105" s="34"/>
      <c r="M105" s="5"/>
    </row>
    <row r="106" spans="1:64" x14ac:dyDescent="0.25">
      <c r="A106" s="5"/>
      <c r="C106" s="87" t="s">
        <v>310</v>
      </c>
      <c r="D106" s="88"/>
      <c r="E106" s="88"/>
      <c r="G106" s="22">
        <v>10.8</v>
      </c>
      <c r="L106" s="34"/>
      <c r="M106" s="5"/>
    </row>
    <row r="107" spans="1:64" x14ac:dyDescent="0.25">
      <c r="A107" s="5"/>
      <c r="C107" s="87" t="s">
        <v>311</v>
      </c>
      <c r="D107" s="88"/>
      <c r="E107" s="88"/>
      <c r="G107" s="22">
        <v>0.2</v>
      </c>
      <c r="L107" s="34"/>
      <c r="M107" s="5"/>
    </row>
    <row r="108" spans="1:64" x14ac:dyDescent="0.25">
      <c r="A108" s="4" t="s">
        <v>28</v>
      </c>
      <c r="B108" s="14" t="s">
        <v>125</v>
      </c>
      <c r="C108" s="85" t="s">
        <v>312</v>
      </c>
      <c r="D108" s="86"/>
      <c r="E108" s="86"/>
      <c r="F108" s="14" t="s">
        <v>496</v>
      </c>
      <c r="G108" s="21">
        <v>222</v>
      </c>
      <c r="H108" s="21">
        <v>0</v>
      </c>
      <c r="I108" s="21">
        <f>G108*AO108</f>
        <v>0</v>
      </c>
      <c r="J108" s="21">
        <f>G108*AP108</f>
        <v>0</v>
      </c>
      <c r="K108" s="21">
        <f>G108*H108</f>
        <v>0</v>
      </c>
      <c r="L108" s="33" t="s">
        <v>517</v>
      </c>
      <c r="M108" s="5"/>
      <c r="Z108" s="40">
        <f>IF(AQ108="5",BJ108,0)</f>
        <v>0</v>
      </c>
      <c r="AB108" s="40">
        <f>IF(AQ108="1",BH108,0)</f>
        <v>0</v>
      </c>
      <c r="AC108" s="40">
        <f>IF(AQ108="1",BI108,0)</f>
        <v>0</v>
      </c>
      <c r="AD108" s="40">
        <f>IF(AQ108="7",BH108,0)</f>
        <v>0</v>
      </c>
      <c r="AE108" s="40">
        <f>IF(AQ108="7",BI108,0)</f>
        <v>0</v>
      </c>
      <c r="AF108" s="40">
        <f>IF(AQ108="2",BH108,0)</f>
        <v>0</v>
      </c>
      <c r="AG108" s="40">
        <f>IF(AQ108="2",BI108,0)</f>
        <v>0</v>
      </c>
      <c r="AH108" s="40">
        <f>IF(AQ108="0",BJ108,0)</f>
        <v>0</v>
      </c>
      <c r="AI108" s="39"/>
      <c r="AJ108" s="21">
        <f>IF(AN108=0,K108,0)</f>
        <v>0</v>
      </c>
      <c r="AK108" s="21">
        <f>IF(AN108=15,K108,0)</f>
        <v>0</v>
      </c>
      <c r="AL108" s="21">
        <f>IF(AN108=21,K108,0)</f>
        <v>0</v>
      </c>
      <c r="AN108" s="40">
        <v>15</v>
      </c>
      <c r="AO108" s="40">
        <f>H108*0.267943925233645</f>
        <v>0</v>
      </c>
      <c r="AP108" s="40">
        <f>H108*(1-0.267943925233645)</f>
        <v>0</v>
      </c>
      <c r="AQ108" s="41" t="s">
        <v>7</v>
      </c>
      <c r="AV108" s="40">
        <f>AW108+AX108</f>
        <v>0</v>
      </c>
      <c r="AW108" s="40">
        <f>G108*AO108</f>
        <v>0</v>
      </c>
      <c r="AX108" s="40">
        <f>G108*AP108</f>
        <v>0</v>
      </c>
      <c r="AY108" s="43" t="s">
        <v>532</v>
      </c>
      <c r="AZ108" s="43" t="s">
        <v>551</v>
      </c>
      <c r="BA108" s="39" t="s">
        <v>557</v>
      </c>
      <c r="BC108" s="40">
        <f>AW108+AX108</f>
        <v>0</v>
      </c>
      <c r="BD108" s="40">
        <f>H108/(100-BE108)*100</f>
        <v>0</v>
      </c>
      <c r="BE108" s="40">
        <v>0</v>
      </c>
      <c r="BF108" s="40">
        <f>108</f>
        <v>108</v>
      </c>
      <c r="BH108" s="21">
        <f>G108*AO108</f>
        <v>0</v>
      </c>
      <c r="BI108" s="21">
        <f>G108*AP108</f>
        <v>0</v>
      </c>
      <c r="BJ108" s="21">
        <f>G108*H108</f>
        <v>0</v>
      </c>
      <c r="BK108" s="21" t="s">
        <v>562</v>
      </c>
      <c r="BL108" s="40">
        <v>62</v>
      </c>
    </row>
    <row r="109" spans="1:64" x14ac:dyDescent="0.25">
      <c r="A109" s="5"/>
      <c r="C109" s="87" t="s">
        <v>313</v>
      </c>
      <c r="D109" s="88"/>
      <c r="E109" s="88"/>
      <c r="G109" s="22">
        <v>20.399999999999999</v>
      </c>
      <c r="L109" s="34"/>
      <c r="M109" s="5"/>
    </row>
    <row r="110" spans="1:64" x14ac:dyDescent="0.25">
      <c r="A110" s="5"/>
      <c r="C110" s="87" t="s">
        <v>314</v>
      </c>
      <c r="D110" s="88"/>
      <c r="E110" s="88"/>
      <c r="G110" s="22">
        <v>72</v>
      </c>
      <c r="L110" s="34"/>
      <c r="M110" s="5"/>
    </row>
    <row r="111" spans="1:64" x14ac:dyDescent="0.25">
      <c r="A111" s="5"/>
      <c r="C111" s="87" t="s">
        <v>315</v>
      </c>
      <c r="D111" s="88"/>
      <c r="E111" s="88"/>
      <c r="G111" s="22">
        <v>43.2</v>
      </c>
      <c r="L111" s="34"/>
      <c r="M111" s="5"/>
    </row>
    <row r="112" spans="1:64" x14ac:dyDescent="0.25">
      <c r="A112" s="5"/>
      <c r="C112" s="87" t="s">
        <v>316</v>
      </c>
      <c r="D112" s="88"/>
      <c r="E112" s="88"/>
      <c r="G112" s="22">
        <v>28.8</v>
      </c>
      <c r="L112" s="34"/>
      <c r="M112" s="5"/>
    </row>
    <row r="113" spans="1:64" x14ac:dyDescent="0.25">
      <c r="A113" s="5"/>
      <c r="C113" s="87" t="s">
        <v>317</v>
      </c>
      <c r="D113" s="88"/>
      <c r="E113" s="88"/>
      <c r="G113" s="22">
        <v>28.8</v>
      </c>
      <c r="L113" s="34"/>
      <c r="M113" s="5"/>
    </row>
    <row r="114" spans="1:64" x14ac:dyDescent="0.25">
      <c r="A114" s="5"/>
      <c r="C114" s="87" t="s">
        <v>318</v>
      </c>
      <c r="D114" s="88"/>
      <c r="E114" s="88"/>
      <c r="G114" s="22">
        <v>8.4600000000000009</v>
      </c>
      <c r="L114" s="34"/>
      <c r="M114" s="5"/>
    </row>
    <row r="115" spans="1:64" x14ac:dyDescent="0.25">
      <c r="A115" s="5"/>
      <c r="C115" s="87" t="s">
        <v>319</v>
      </c>
      <c r="D115" s="88"/>
      <c r="E115" s="88"/>
      <c r="G115" s="22">
        <v>20.166</v>
      </c>
      <c r="L115" s="34"/>
      <c r="M115" s="5"/>
    </row>
    <row r="116" spans="1:64" x14ac:dyDescent="0.25">
      <c r="A116" s="5"/>
      <c r="C116" s="87" t="s">
        <v>320</v>
      </c>
      <c r="D116" s="88"/>
      <c r="E116" s="88"/>
      <c r="G116" s="22">
        <v>0.17399999999999999</v>
      </c>
      <c r="L116" s="34"/>
      <c r="M116" s="5"/>
    </row>
    <row r="117" spans="1:64" x14ac:dyDescent="0.25">
      <c r="A117" s="4" t="s">
        <v>29</v>
      </c>
      <c r="B117" s="14" t="s">
        <v>126</v>
      </c>
      <c r="C117" s="85" t="s">
        <v>321</v>
      </c>
      <c r="D117" s="86"/>
      <c r="E117" s="86"/>
      <c r="F117" s="14" t="s">
        <v>496</v>
      </c>
      <c r="G117" s="21">
        <v>341</v>
      </c>
      <c r="H117" s="21">
        <v>0</v>
      </c>
      <c r="I117" s="21">
        <f>G117*AO117</f>
        <v>0</v>
      </c>
      <c r="J117" s="21">
        <f>G117*AP117</f>
        <v>0</v>
      </c>
      <c r="K117" s="21">
        <f>G117*H117</f>
        <v>0</v>
      </c>
      <c r="L117" s="33" t="s">
        <v>517</v>
      </c>
      <c r="M117" s="5"/>
      <c r="Z117" s="40">
        <f>IF(AQ117="5",BJ117,0)</f>
        <v>0</v>
      </c>
      <c r="AB117" s="40">
        <f>IF(AQ117="1",BH117,0)</f>
        <v>0</v>
      </c>
      <c r="AC117" s="40">
        <f>IF(AQ117="1",BI117,0)</f>
        <v>0</v>
      </c>
      <c r="AD117" s="40">
        <f>IF(AQ117="7",BH117,0)</f>
        <v>0</v>
      </c>
      <c r="AE117" s="40">
        <f>IF(AQ117="7",BI117,0)</f>
        <v>0</v>
      </c>
      <c r="AF117" s="40">
        <f>IF(AQ117="2",BH117,0)</f>
        <v>0</v>
      </c>
      <c r="AG117" s="40">
        <f>IF(AQ117="2",BI117,0)</f>
        <v>0</v>
      </c>
      <c r="AH117" s="40">
        <f>IF(AQ117="0",BJ117,0)</f>
        <v>0</v>
      </c>
      <c r="AI117" s="39"/>
      <c r="AJ117" s="21">
        <f>IF(AN117=0,K117,0)</f>
        <v>0</v>
      </c>
      <c r="AK117" s="21">
        <f>IF(AN117=15,K117,0)</f>
        <v>0</v>
      </c>
      <c r="AL117" s="21">
        <f>IF(AN117=21,K117,0)</f>
        <v>0</v>
      </c>
      <c r="AN117" s="40">
        <v>15</v>
      </c>
      <c r="AO117" s="40">
        <f>H117*0.428359041070433</f>
        <v>0</v>
      </c>
      <c r="AP117" s="40">
        <f>H117*(1-0.428359041070433)</f>
        <v>0</v>
      </c>
      <c r="AQ117" s="41" t="s">
        <v>7</v>
      </c>
      <c r="AV117" s="40">
        <f>AW117+AX117</f>
        <v>0</v>
      </c>
      <c r="AW117" s="40">
        <f>G117*AO117</f>
        <v>0</v>
      </c>
      <c r="AX117" s="40">
        <f>G117*AP117</f>
        <v>0</v>
      </c>
      <c r="AY117" s="43" t="s">
        <v>532</v>
      </c>
      <c r="AZ117" s="43" t="s">
        <v>551</v>
      </c>
      <c r="BA117" s="39" t="s">
        <v>557</v>
      </c>
      <c r="BC117" s="40">
        <f>AW117+AX117</f>
        <v>0</v>
      </c>
      <c r="BD117" s="40">
        <f>H117/(100-BE117)*100</f>
        <v>0</v>
      </c>
      <c r="BE117" s="40">
        <v>0</v>
      </c>
      <c r="BF117" s="40">
        <f>117</f>
        <v>117</v>
      </c>
      <c r="BH117" s="21">
        <f>G117*AO117</f>
        <v>0</v>
      </c>
      <c r="BI117" s="21">
        <f>G117*AP117</f>
        <v>0</v>
      </c>
      <c r="BJ117" s="21">
        <f>G117*H117</f>
        <v>0</v>
      </c>
      <c r="BK117" s="21" t="s">
        <v>562</v>
      </c>
      <c r="BL117" s="40">
        <v>62</v>
      </c>
    </row>
    <row r="118" spans="1:64" x14ac:dyDescent="0.25">
      <c r="A118" s="5"/>
      <c r="C118" s="87" t="s">
        <v>322</v>
      </c>
      <c r="D118" s="88"/>
      <c r="E118" s="88"/>
      <c r="G118" s="22">
        <v>119</v>
      </c>
      <c r="L118" s="34"/>
      <c r="M118" s="5"/>
    </row>
    <row r="119" spans="1:64" x14ac:dyDescent="0.25">
      <c r="A119" s="5"/>
      <c r="C119" s="87" t="s">
        <v>323</v>
      </c>
      <c r="D119" s="88"/>
      <c r="E119" s="88"/>
      <c r="G119" s="22">
        <v>222</v>
      </c>
      <c r="L119" s="34"/>
      <c r="M119" s="5"/>
    </row>
    <row r="120" spans="1:64" x14ac:dyDescent="0.25">
      <c r="A120" s="4" t="s">
        <v>30</v>
      </c>
      <c r="B120" s="14" t="s">
        <v>127</v>
      </c>
      <c r="C120" s="85" t="s">
        <v>324</v>
      </c>
      <c r="D120" s="86"/>
      <c r="E120" s="86"/>
      <c r="F120" s="14" t="s">
        <v>496</v>
      </c>
      <c r="G120" s="21">
        <v>115</v>
      </c>
      <c r="H120" s="21">
        <v>0</v>
      </c>
      <c r="I120" s="21">
        <f>G120*AO120</f>
        <v>0</v>
      </c>
      <c r="J120" s="21">
        <f>G120*AP120</f>
        <v>0</v>
      </c>
      <c r="K120" s="21">
        <f>G120*H120</f>
        <v>0</v>
      </c>
      <c r="L120" s="33" t="s">
        <v>517</v>
      </c>
      <c r="M120" s="5"/>
      <c r="Z120" s="40">
        <f>IF(AQ120="5",BJ120,0)</f>
        <v>0</v>
      </c>
      <c r="AB120" s="40">
        <f>IF(AQ120="1",BH120,0)</f>
        <v>0</v>
      </c>
      <c r="AC120" s="40">
        <f>IF(AQ120="1",BI120,0)</f>
        <v>0</v>
      </c>
      <c r="AD120" s="40">
        <f>IF(AQ120="7",BH120,0)</f>
        <v>0</v>
      </c>
      <c r="AE120" s="40">
        <f>IF(AQ120="7",BI120,0)</f>
        <v>0</v>
      </c>
      <c r="AF120" s="40">
        <f>IF(AQ120="2",BH120,0)</f>
        <v>0</v>
      </c>
      <c r="AG120" s="40">
        <f>IF(AQ120="2",BI120,0)</f>
        <v>0</v>
      </c>
      <c r="AH120" s="40">
        <f>IF(AQ120="0",BJ120,0)</f>
        <v>0</v>
      </c>
      <c r="AI120" s="39"/>
      <c r="AJ120" s="21">
        <f>IF(AN120=0,K120,0)</f>
        <v>0</v>
      </c>
      <c r="AK120" s="21">
        <f>IF(AN120=15,K120,0)</f>
        <v>0</v>
      </c>
      <c r="AL120" s="21">
        <f>IF(AN120=21,K120,0)</f>
        <v>0</v>
      </c>
      <c r="AN120" s="40">
        <v>15</v>
      </c>
      <c r="AO120" s="40">
        <f>H120*0.216915422885572</f>
        <v>0</v>
      </c>
      <c r="AP120" s="40">
        <f>H120*(1-0.216915422885572)</f>
        <v>0</v>
      </c>
      <c r="AQ120" s="41" t="s">
        <v>7</v>
      </c>
      <c r="AV120" s="40">
        <f>AW120+AX120</f>
        <v>0</v>
      </c>
      <c r="AW120" s="40">
        <f>G120*AO120</f>
        <v>0</v>
      </c>
      <c r="AX120" s="40">
        <f>G120*AP120</f>
        <v>0</v>
      </c>
      <c r="AY120" s="43" t="s">
        <v>532</v>
      </c>
      <c r="AZ120" s="43" t="s">
        <v>551</v>
      </c>
      <c r="BA120" s="39" t="s">
        <v>557</v>
      </c>
      <c r="BC120" s="40">
        <f>AW120+AX120</f>
        <v>0</v>
      </c>
      <c r="BD120" s="40">
        <f>H120/(100-BE120)*100</f>
        <v>0</v>
      </c>
      <c r="BE120" s="40">
        <v>0</v>
      </c>
      <c r="BF120" s="40">
        <f>120</f>
        <v>120</v>
      </c>
      <c r="BH120" s="21">
        <f>G120*AO120</f>
        <v>0</v>
      </c>
      <c r="BI120" s="21">
        <f>G120*AP120</f>
        <v>0</v>
      </c>
      <c r="BJ120" s="21">
        <f>G120*H120</f>
        <v>0</v>
      </c>
      <c r="BK120" s="21" t="s">
        <v>562</v>
      </c>
      <c r="BL120" s="40">
        <v>62</v>
      </c>
    </row>
    <row r="121" spans="1:64" x14ac:dyDescent="0.25">
      <c r="A121" s="5"/>
      <c r="C121" s="87" t="s">
        <v>325</v>
      </c>
      <c r="D121" s="88"/>
      <c r="E121" s="88"/>
      <c r="G121" s="22">
        <v>50.4</v>
      </c>
      <c r="L121" s="34"/>
      <c r="M121" s="5"/>
    </row>
    <row r="122" spans="1:64" x14ac:dyDescent="0.25">
      <c r="A122" s="5"/>
      <c r="C122" s="87" t="s">
        <v>326</v>
      </c>
      <c r="D122" s="88"/>
      <c r="E122" s="88"/>
      <c r="G122" s="22">
        <v>54</v>
      </c>
      <c r="L122" s="34"/>
      <c r="M122" s="5"/>
    </row>
    <row r="123" spans="1:64" x14ac:dyDescent="0.25">
      <c r="A123" s="5"/>
      <c r="C123" s="87" t="s">
        <v>327</v>
      </c>
      <c r="D123" s="88"/>
      <c r="E123" s="88"/>
      <c r="G123" s="22">
        <v>10.44</v>
      </c>
      <c r="L123" s="34"/>
      <c r="M123" s="5"/>
    </row>
    <row r="124" spans="1:64" x14ac:dyDescent="0.25">
      <c r="A124" s="5"/>
      <c r="C124" s="87" t="s">
        <v>328</v>
      </c>
      <c r="D124" s="88"/>
      <c r="E124" s="88"/>
      <c r="G124" s="22">
        <v>0.16</v>
      </c>
      <c r="L124" s="34"/>
      <c r="M124" s="5"/>
    </row>
    <row r="125" spans="1:64" x14ac:dyDescent="0.25">
      <c r="A125" s="4" t="s">
        <v>31</v>
      </c>
      <c r="B125" s="14" t="s">
        <v>128</v>
      </c>
      <c r="C125" s="85" t="s">
        <v>329</v>
      </c>
      <c r="D125" s="86"/>
      <c r="E125" s="86"/>
      <c r="F125" s="14" t="s">
        <v>495</v>
      </c>
      <c r="G125" s="21">
        <v>136.93049999999999</v>
      </c>
      <c r="H125" s="21">
        <v>0</v>
      </c>
      <c r="I125" s="21">
        <f>G125*AO125</f>
        <v>0</v>
      </c>
      <c r="J125" s="21">
        <f>G125*AP125</f>
        <v>0</v>
      </c>
      <c r="K125" s="21">
        <f>G125*H125</f>
        <v>0</v>
      </c>
      <c r="L125" s="33" t="s">
        <v>517</v>
      </c>
      <c r="M125" s="5"/>
      <c r="Z125" s="40">
        <f>IF(AQ125="5",BJ125,0)</f>
        <v>0</v>
      </c>
      <c r="AB125" s="40">
        <f>IF(AQ125="1",BH125,0)</f>
        <v>0</v>
      </c>
      <c r="AC125" s="40">
        <f>IF(AQ125="1",BI125,0)</f>
        <v>0</v>
      </c>
      <c r="AD125" s="40">
        <f>IF(AQ125="7",BH125,0)</f>
        <v>0</v>
      </c>
      <c r="AE125" s="40">
        <f>IF(AQ125="7",BI125,0)</f>
        <v>0</v>
      </c>
      <c r="AF125" s="40">
        <f>IF(AQ125="2",BH125,0)</f>
        <v>0</v>
      </c>
      <c r="AG125" s="40">
        <f>IF(AQ125="2",BI125,0)</f>
        <v>0</v>
      </c>
      <c r="AH125" s="40">
        <f>IF(AQ125="0",BJ125,0)</f>
        <v>0</v>
      </c>
      <c r="AI125" s="39"/>
      <c r="AJ125" s="21">
        <f>IF(AN125=0,K125,0)</f>
        <v>0</v>
      </c>
      <c r="AK125" s="21">
        <f>IF(AN125=15,K125,0)</f>
        <v>0</v>
      </c>
      <c r="AL125" s="21">
        <f>IF(AN125=21,K125,0)</f>
        <v>0</v>
      </c>
      <c r="AN125" s="40">
        <v>15</v>
      </c>
      <c r="AO125" s="40">
        <f>H125*0.291845553020235</f>
        <v>0</v>
      </c>
      <c r="AP125" s="40">
        <f>H125*(1-0.291845553020235)</f>
        <v>0</v>
      </c>
      <c r="AQ125" s="41" t="s">
        <v>7</v>
      </c>
      <c r="AV125" s="40">
        <f>AW125+AX125</f>
        <v>0</v>
      </c>
      <c r="AW125" s="40">
        <f>G125*AO125</f>
        <v>0</v>
      </c>
      <c r="AX125" s="40">
        <f>G125*AP125</f>
        <v>0</v>
      </c>
      <c r="AY125" s="43" t="s">
        <v>532</v>
      </c>
      <c r="AZ125" s="43" t="s">
        <v>551</v>
      </c>
      <c r="BA125" s="39" t="s">
        <v>557</v>
      </c>
      <c r="BC125" s="40">
        <f>AW125+AX125</f>
        <v>0</v>
      </c>
      <c r="BD125" s="40">
        <f>H125/(100-BE125)*100</f>
        <v>0</v>
      </c>
      <c r="BE125" s="40">
        <v>0</v>
      </c>
      <c r="BF125" s="40">
        <f>125</f>
        <v>125</v>
      </c>
      <c r="BH125" s="21">
        <f>G125*AO125</f>
        <v>0</v>
      </c>
      <c r="BI125" s="21">
        <f>G125*AP125</f>
        <v>0</v>
      </c>
      <c r="BJ125" s="21">
        <f>G125*H125</f>
        <v>0</v>
      </c>
      <c r="BK125" s="21" t="s">
        <v>562</v>
      </c>
      <c r="BL125" s="40">
        <v>62</v>
      </c>
    </row>
    <row r="126" spans="1:64" x14ac:dyDescent="0.25">
      <c r="A126" s="5"/>
      <c r="C126" s="87" t="s">
        <v>330</v>
      </c>
      <c r="D126" s="88"/>
      <c r="E126" s="88"/>
      <c r="G126" s="22">
        <v>9.18</v>
      </c>
      <c r="L126" s="34"/>
      <c r="M126" s="5"/>
    </row>
    <row r="127" spans="1:64" x14ac:dyDescent="0.25">
      <c r="A127" s="5"/>
      <c r="C127" s="87" t="s">
        <v>331</v>
      </c>
      <c r="D127" s="88"/>
      <c r="E127" s="88"/>
      <c r="G127" s="22">
        <v>75.599999999999994</v>
      </c>
      <c r="L127" s="34"/>
      <c r="M127" s="5"/>
    </row>
    <row r="128" spans="1:64" x14ac:dyDescent="0.25">
      <c r="A128" s="5"/>
      <c r="C128" s="87" t="s">
        <v>332</v>
      </c>
      <c r="D128" s="88"/>
      <c r="E128" s="88"/>
      <c r="G128" s="22">
        <v>29.16</v>
      </c>
      <c r="L128" s="34"/>
      <c r="M128" s="5"/>
    </row>
    <row r="129" spans="1:64" x14ac:dyDescent="0.25">
      <c r="A129" s="5"/>
      <c r="C129" s="87" t="s">
        <v>333</v>
      </c>
      <c r="D129" s="88"/>
      <c r="E129" s="88"/>
      <c r="G129" s="22">
        <v>8.64</v>
      </c>
      <c r="L129" s="34"/>
      <c r="M129" s="5"/>
    </row>
    <row r="130" spans="1:64" x14ac:dyDescent="0.25">
      <c r="A130" s="5"/>
      <c r="C130" s="87" t="s">
        <v>334</v>
      </c>
      <c r="D130" s="88"/>
      <c r="E130" s="88"/>
      <c r="G130" s="22">
        <v>8.64</v>
      </c>
      <c r="L130" s="34"/>
      <c r="M130" s="5"/>
    </row>
    <row r="131" spans="1:64" x14ac:dyDescent="0.25">
      <c r="A131" s="5"/>
      <c r="C131" s="87" t="s">
        <v>335</v>
      </c>
      <c r="D131" s="88"/>
      <c r="E131" s="88"/>
      <c r="G131" s="22">
        <v>5.7104999999999997</v>
      </c>
      <c r="L131" s="34"/>
      <c r="M131" s="5"/>
    </row>
    <row r="132" spans="1:64" x14ac:dyDescent="0.25">
      <c r="A132" s="6"/>
      <c r="B132" s="15" t="s">
        <v>129</v>
      </c>
      <c r="C132" s="83" t="s">
        <v>336</v>
      </c>
      <c r="D132" s="84"/>
      <c r="E132" s="84"/>
      <c r="F132" s="19" t="s">
        <v>6</v>
      </c>
      <c r="G132" s="19" t="s">
        <v>6</v>
      </c>
      <c r="H132" s="19" t="s">
        <v>6</v>
      </c>
      <c r="I132" s="46">
        <f>SUM(I133:I144)</f>
        <v>0</v>
      </c>
      <c r="J132" s="46">
        <f>SUM(J133:J144)</f>
        <v>0</v>
      </c>
      <c r="K132" s="46">
        <f>SUM(K133:K144)</f>
        <v>0</v>
      </c>
      <c r="L132" s="35"/>
      <c r="M132" s="5"/>
      <c r="AI132" s="39"/>
      <c r="AS132" s="46">
        <f>SUM(AJ133:AJ144)</f>
        <v>0</v>
      </c>
      <c r="AT132" s="46">
        <f>SUM(AK133:AK144)</f>
        <v>0</v>
      </c>
      <c r="AU132" s="46">
        <f>SUM(AL133:AL144)</f>
        <v>0</v>
      </c>
    </row>
    <row r="133" spans="1:64" x14ac:dyDescent="0.25">
      <c r="A133" s="4" t="s">
        <v>32</v>
      </c>
      <c r="B133" s="14" t="s">
        <v>130</v>
      </c>
      <c r="C133" s="85" t="s">
        <v>337</v>
      </c>
      <c r="D133" s="86"/>
      <c r="E133" s="86"/>
      <c r="F133" s="14" t="s">
        <v>495</v>
      </c>
      <c r="G133" s="64">
        <v>250</v>
      </c>
      <c r="H133" s="21">
        <v>0</v>
      </c>
      <c r="I133" s="21">
        <f>G133*AO133</f>
        <v>0</v>
      </c>
      <c r="J133" s="21">
        <f>G133*AP133</f>
        <v>0</v>
      </c>
      <c r="K133" s="21">
        <f>G133*H133</f>
        <v>0</v>
      </c>
      <c r="L133" s="33" t="s">
        <v>517</v>
      </c>
      <c r="M133" s="5"/>
      <c r="Z133" s="40">
        <f>IF(AQ133="5",BJ133,0)</f>
        <v>0</v>
      </c>
      <c r="AB133" s="40">
        <f>IF(AQ133="1",BH133,0)</f>
        <v>0</v>
      </c>
      <c r="AC133" s="40">
        <f>IF(AQ133="1",BI133,0)</f>
        <v>0</v>
      </c>
      <c r="AD133" s="40">
        <f>IF(AQ133="7",BH133,0)</f>
        <v>0</v>
      </c>
      <c r="AE133" s="40">
        <f>IF(AQ133="7",BI133,0)</f>
        <v>0</v>
      </c>
      <c r="AF133" s="40">
        <f>IF(AQ133="2",BH133,0)</f>
        <v>0</v>
      </c>
      <c r="AG133" s="40">
        <f>IF(AQ133="2",BI133,0)</f>
        <v>0</v>
      </c>
      <c r="AH133" s="40">
        <f>IF(AQ133="0",BJ133,0)</f>
        <v>0</v>
      </c>
      <c r="AI133" s="39"/>
      <c r="AJ133" s="21">
        <f>IF(AN133=0,K133,0)</f>
        <v>0</v>
      </c>
      <c r="AK133" s="21">
        <f>IF(AN133=15,K133,0)</f>
        <v>0</v>
      </c>
      <c r="AL133" s="21">
        <f>IF(AN133=21,K133,0)</f>
        <v>0</v>
      </c>
      <c r="AN133" s="40">
        <v>15</v>
      </c>
      <c r="AO133" s="40">
        <f>H133*0.301982768568022</f>
        <v>0</v>
      </c>
      <c r="AP133" s="40">
        <f>H133*(1-0.301982768568022)</f>
        <v>0</v>
      </c>
      <c r="AQ133" s="41" t="s">
        <v>13</v>
      </c>
      <c r="AV133" s="40">
        <f>AW133+AX133</f>
        <v>0</v>
      </c>
      <c r="AW133" s="40">
        <f>G133*AO133</f>
        <v>0</v>
      </c>
      <c r="AX133" s="40">
        <f>G133*AP133</f>
        <v>0</v>
      </c>
      <c r="AY133" s="43" t="s">
        <v>533</v>
      </c>
      <c r="AZ133" s="43" t="s">
        <v>552</v>
      </c>
      <c r="BA133" s="39" t="s">
        <v>557</v>
      </c>
      <c r="BC133" s="40">
        <f>AW133+AX133</f>
        <v>0</v>
      </c>
      <c r="BD133" s="40">
        <f>H133/(100-BE133)*100</f>
        <v>0</v>
      </c>
      <c r="BE133" s="40">
        <v>0</v>
      </c>
      <c r="BF133" s="40">
        <f>133</f>
        <v>133</v>
      </c>
      <c r="BH133" s="21">
        <f>G133*AO133</f>
        <v>0</v>
      </c>
      <c r="BI133" s="21">
        <f>G133*AP133</f>
        <v>0</v>
      </c>
      <c r="BJ133" s="21">
        <f>G133*H133</f>
        <v>0</v>
      </c>
      <c r="BK133" s="21" t="s">
        <v>562</v>
      </c>
      <c r="BL133" s="40">
        <v>713</v>
      </c>
    </row>
    <row r="134" spans="1:64" x14ac:dyDescent="0.25">
      <c r="A134" s="5"/>
      <c r="C134" s="87" t="s">
        <v>239</v>
      </c>
      <c r="D134" s="88"/>
      <c r="E134" s="88"/>
      <c r="G134" s="22">
        <v>250</v>
      </c>
      <c r="L134" s="34"/>
      <c r="M134" s="5"/>
    </row>
    <row r="135" spans="1:64" x14ac:dyDescent="0.25">
      <c r="A135" s="7" t="s">
        <v>33</v>
      </c>
      <c r="B135" s="16" t="s">
        <v>131</v>
      </c>
      <c r="C135" s="100" t="s">
        <v>338</v>
      </c>
      <c r="D135" s="101"/>
      <c r="E135" s="101"/>
      <c r="F135" s="16" t="s">
        <v>495</v>
      </c>
      <c r="G135" s="23">
        <v>263</v>
      </c>
      <c r="H135" s="23">
        <v>0</v>
      </c>
      <c r="I135" s="23">
        <f>G135*AO135</f>
        <v>0</v>
      </c>
      <c r="J135" s="23">
        <f>G135*AP135</f>
        <v>0</v>
      </c>
      <c r="K135" s="23">
        <f>G135*H135</f>
        <v>0</v>
      </c>
      <c r="L135" s="36" t="s">
        <v>517</v>
      </c>
      <c r="M135" s="5"/>
      <c r="Z135" s="40">
        <f>IF(AQ135="5",BJ135,0)</f>
        <v>0</v>
      </c>
      <c r="AB135" s="40">
        <f>IF(AQ135="1",BH135,0)</f>
        <v>0</v>
      </c>
      <c r="AC135" s="40">
        <f>IF(AQ135="1",BI135,0)</f>
        <v>0</v>
      </c>
      <c r="AD135" s="40">
        <f>IF(AQ135="7",BH135,0)</f>
        <v>0</v>
      </c>
      <c r="AE135" s="40">
        <f>IF(AQ135="7",BI135,0)</f>
        <v>0</v>
      </c>
      <c r="AF135" s="40">
        <f>IF(AQ135="2",BH135,0)</f>
        <v>0</v>
      </c>
      <c r="AG135" s="40">
        <f>IF(AQ135="2",BI135,0)</f>
        <v>0</v>
      </c>
      <c r="AH135" s="40">
        <f>IF(AQ135="0",BJ135,0)</f>
        <v>0</v>
      </c>
      <c r="AI135" s="39"/>
      <c r="AJ135" s="23">
        <f>IF(AN135=0,K135,0)</f>
        <v>0</v>
      </c>
      <c r="AK135" s="23">
        <f>IF(AN135=15,K135,0)</f>
        <v>0</v>
      </c>
      <c r="AL135" s="23">
        <f>IF(AN135=21,K135,0)</f>
        <v>0</v>
      </c>
      <c r="AN135" s="40">
        <v>15</v>
      </c>
      <c r="AO135" s="40">
        <f>H135*1</f>
        <v>0</v>
      </c>
      <c r="AP135" s="40">
        <f>H135*(1-1)</f>
        <v>0</v>
      </c>
      <c r="AQ135" s="42" t="s">
        <v>13</v>
      </c>
      <c r="AV135" s="40">
        <f>AW135+AX135</f>
        <v>0</v>
      </c>
      <c r="AW135" s="40">
        <f>G135*AO135</f>
        <v>0</v>
      </c>
      <c r="AX135" s="40">
        <f>G135*AP135</f>
        <v>0</v>
      </c>
      <c r="AY135" s="43" t="s">
        <v>533</v>
      </c>
      <c r="AZ135" s="43" t="s">
        <v>552</v>
      </c>
      <c r="BA135" s="39" t="s">
        <v>557</v>
      </c>
      <c r="BC135" s="40">
        <f>AW135+AX135</f>
        <v>0</v>
      </c>
      <c r="BD135" s="40">
        <f>H135/(100-BE135)*100</f>
        <v>0</v>
      </c>
      <c r="BE135" s="40">
        <v>0</v>
      </c>
      <c r="BF135" s="40">
        <f>135</f>
        <v>135</v>
      </c>
      <c r="BH135" s="23">
        <f>G135*AO135</f>
        <v>0</v>
      </c>
      <c r="BI135" s="23">
        <f>G135*AP135</f>
        <v>0</v>
      </c>
      <c r="BJ135" s="23">
        <f>G135*H135</f>
        <v>0</v>
      </c>
      <c r="BK135" s="23" t="s">
        <v>563</v>
      </c>
      <c r="BL135" s="40">
        <v>713</v>
      </c>
    </row>
    <row r="136" spans="1:64" x14ac:dyDescent="0.25">
      <c r="A136" s="5"/>
      <c r="C136" s="87" t="s">
        <v>339</v>
      </c>
      <c r="D136" s="88"/>
      <c r="E136" s="88"/>
      <c r="G136" s="22">
        <v>250</v>
      </c>
      <c r="L136" s="34"/>
      <c r="M136" s="5"/>
    </row>
    <row r="137" spans="1:64" x14ac:dyDescent="0.25">
      <c r="A137" s="5"/>
      <c r="C137" s="87" t="s">
        <v>340</v>
      </c>
      <c r="D137" s="88"/>
      <c r="E137" s="88"/>
      <c r="G137" s="22">
        <v>12.5</v>
      </c>
      <c r="L137" s="34"/>
      <c r="M137" s="5"/>
    </row>
    <row r="138" spans="1:64" x14ac:dyDescent="0.25">
      <c r="A138" s="5"/>
      <c r="C138" s="87" t="s">
        <v>341</v>
      </c>
      <c r="D138" s="88"/>
      <c r="E138" s="88"/>
      <c r="G138" s="22">
        <v>0.5</v>
      </c>
      <c r="L138" s="34"/>
      <c r="M138" s="5"/>
    </row>
    <row r="139" spans="1:64" x14ac:dyDescent="0.25">
      <c r="A139" s="4" t="s">
        <v>34</v>
      </c>
      <c r="B139" s="14" t="s">
        <v>132</v>
      </c>
      <c r="C139" s="85" t="s">
        <v>342</v>
      </c>
      <c r="D139" s="86"/>
      <c r="E139" s="86"/>
      <c r="F139" s="14" t="s">
        <v>495</v>
      </c>
      <c r="G139" s="64">
        <v>280</v>
      </c>
      <c r="H139" s="21">
        <v>0</v>
      </c>
      <c r="I139" s="21">
        <f>G139*AO139</f>
        <v>0</v>
      </c>
      <c r="J139" s="21">
        <f>G139*AP139</f>
        <v>0</v>
      </c>
      <c r="K139" s="21">
        <f>G139*H139</f>
        <v>0</v>
      </c>
      <c r="L139" s="33" t="s">
        <v>517</v>
      </c>
      <c r="M139" s="5"/>
      <c r="Z139" s="40">
        <f>IF(AQ139="5",BJ139,0)</f>
        <v>0</v>
      </c>
      <c r="AB139" s="40">
        <f>IF(AQ139="1",BH139,0)</f>
        <v>0</v>
      </c>
      <c r="AC139" s="40">
        <f>IF(AQ139="1",BI139,0)</f>
        <v>0</v>
      </c>
      <c r="AD139" s="40">
        <f>IF(AQ139="7",BH139,0)</f>
        <v>0</v>
      </c>
      <c r="AE139" s="40">
        <f>IF(AQ139="7",BI139,0)</f>
        <v>0</v>
      </c>
      <c r="AF139" s="40">
        <f>IF(AQ139="2",BH139,0)</f>
        <v>0</v>
      </c>
      <c r="AG139" s="40">
        <f>IF(AQ139="2",BI139,0)</f>
        <v>0</v>
      </c>
      <c r="AH139" s="40">
        <f>IF(AQ139="0",BJ139,0)</f>
        <v>0</v>
      </c>
      <c r="AI139" s="39"/>
      <c r="AJ139" s="21">
        <f>IF(AN139=0,K139,0)</f>
        <v>0</v>
      </c>
      <c r="AK139" s="21">
        <f>IF(AN139=15,K139,0)</f>
        <v>0</v>
      </c>
      <c r="AL139" s="21">
        <f>IF(AN139=21,K139,0)</f>
        <v>0</v>
      </c>
      <c r="AN139" s="40">
        <v>15</v>
      </c>
      <c r="AO139" s="40">
        <f>H139*0</f>
        <v>0</v>
      </c>
      <c r="AP139" s="40">
        <f>H139*(1-0)</f>
        <v>0</v>
      </c>
      <c r="AQ139" s="41" t="s">
        <v>13</v>
      </c>
      <c r="AV139" s="40">
        <f>AW139+AX139</f>
        <v>0</v>
      </c>
      <c r="AW139" s="40">
        <f>G139*AO139</f>
        <v>0</v>
      </c>
      <c r="AX139" s="40">
        <f>G139*AP139</f>
        <v>0</v>
      </c>
      <c r="AY139" s="43" t="s">
        <v>533</v>
      </c>
      <c r="AZ139" s="43" t="s">
        <v>552</v>
      </c>
      <c r="BA139" s="39" t="s">
        <v>557</v>
      </c>
      <c r="BC139" s="40">
        <f>AW139+AX139</f>
        <v>0</v>
      </c>
      <c r="BD139" s="40">
        <f>H139/(100-BE139)*100</f>
        <v>0</v>
      </c>
      <c r="BE139" s="40">
        <v>0</v>
      </c>
      <c r="BF139" s="40">
        <f>139</f>
        <v>139</v>
      </c>
      <c r="BH139" s="21">
        <f>G139*AO139</f>
        <v>0</v>
      </c>
      <c r="BI139" s="21">
        <f>G139*AP139</f>
        <v>0</v>
      </c>
      <c r="BJ139" s="21">
        <f>G139*H139</f>
        <v>0</v>
      </c>
      <c r="BK139" s="21" t="s">
        <v>562</v>
      </c>
      <c r="BL139" s="40">
        <v>713</v>
      </c>
    </row>
    <row r="140" spans="1:64" x14ac:dyDescent="0.25">
      <c r="A140" s="5"/>
      <c r="C140" s="87" t="s">
        <v>343</v>
      </c>
      <c r="D140" s="88"/>
      <c r="E140" s="88"/>
      <c r="G140" s="22">
        <v>280</v>
      </c>
      <c r="L140" s="34"/>
      <c r="M140" s="5"/>
    </row>
    <row r="141" spans="1:64" x14ac:dyDescent="0.25">
      <c r="A141" s="7" t="s">
        <v>35</v>
      </c>
      <c r="B141" s="16" t="s">
        <v>133</v>
      </c>
      <c r="C141" s="100" t="s">
        <v>344</v>
      </c>
      <c r="D141" s="101"/>
      <c r="E141" s="101"/>
      <c r="F141" s="16" t="s">
        <v>495</v>
      </c>
      <c r="G141" s="23">
        <v>294</v>
      </c>
      <c r="H141" s="23">
        <v>0</v>
      </c>
      <c r="I141" s="23">
        <f>G141*AO141</f>
        <v>0</v>
      </c>
      <c r="J141" s="23">
        <f>G141*AP141</f>
        <v>0</v>
      </c>
      <c r="K141" s="23">
        <f>G141*H141</f>
        <v>0</v>
      </c>
      <c r="L141" s="36" t="s">
        <v>517</v>
      </c>
      <c r="M141" s="5"/>
      <c r="Z141" s="40">
        <f>IF(AQ141="5",BJ141,0)</f>
        <v>0</v>
      </c>
      <c r="AB141" s="40">
        <f>IF(AQ141="1",BH141,0)</f>
        <v>0</v>
      </c>
      <c r="AC141" s="40">
        <f>IF(AQ141="1",BI141,0)</f>
        <v>0</v>
      </c>
      <c r="AD141" s="40">
        <f>IF(AQ141="7",BH141,0)</f>
        <v>0</v>
      </c>
      <c r="AE141" s="40">
        <f>IF(AQ141="7",BI141,0)</f>
        <v>0</v>
      </c>
      <c r="AF141" s="40">
        <f>IF(AQ141="2",BH141,0)</f>
        <v>0</v>
      </c>
      <c r="AG141" s="40">
        <f>IF(AQ141="2",BI141,0)</f>
        <v>0</v>
      </c>
      <c r="AH141" s="40">
        <f>IF(AQ141="0",BJ141,0)</f>
        <v>0</v>
      </c>
      <c r="AI141" s="39"/>
      <c r="AJ141" s="23">
        <f>IF(AN141=0,K141,0)</f>
        <v>0</v>
      </c>
      <c r="AK141" s="23">
        <f>IF(AN141=15,K141,0)</f>
        <v>0</v>
      </c>
      <c r="AL141" s="23">
        <f>IF(AN141=21,K141,0)</f>
        <v>0</v>
      </c>
      <c r="AN141" s="40">
        <v>15</v>
      </c>
      <c r="AO141" s="40">
        <f>H141*1</f>
        <v>0</v>
      </c>
      <c r="AP141" s="40">
        <f>H141*(1-1)</f>
        <v>0</v>
      </c>
      <c r="AQ141" s="42" t="s">
        <v>13</v>
      </c>
      <c r="AV141" s="40">
        <f>AW141+AX141</f>
        <v>0</v>
      </c>
      <c r="AW141" s="40">
        <f>G141*AO141</f>
        <v>0</v>
      </c>
      <c r="AX141" s="40">
        <f>G141*AP141</f>
        <v>0</v>
      </c>
      <c r="AY141" s="43" t="s">
        <v>533</v>
      </c>
      <c r="AZ141" s="43" t="s">
        <v>552</v>
      </c>
      <c r="BA141" s="39" t="s">
        <v>557</v>
      </c>
      <c r="BC141" s="40">
        <f>AW141+AX141</f>
        <v>0</v>
      </c>
      <c r="BD141" s="40">
        <f>H141/(100-BE141)*100</f>
        <v>0</v>
      </c>
      <c r="BE141" s="40">
        <v>0</v>
      </c>
      <c r="BF141" s="40">
        <f>141</f>
        <v>141</v>
      </c>
      <c r="BH141" s="23">
        <f>G141*AO141</f>
        <v>0</v>
      </c>
      <c r="BI141" s="23">
        <f>G141*AP141</f>
        <v>0</v>
      </c>
      <c r="BJ141" s="23">
        <f>G141*H141</f>
        <v>0</v>
      </c>
      <c r="BK141" s="23" t="s">
        <v>563</v>
      </c>
      <c r="BL141" s="40">
        <v>713</v>
      </c>
    </row>
    <row r="142" spans="1:64" x14ac:dyDescent="0.25">
      <c r="A142" s="5"/>
      <c r="C142" s="87" t="s">
        <v>345</v>
      </c>
      <c r="D142" s="88"/>
      <c r="E142" s="88"/>
      <c r="G142" s="22">
        <v>280</v>
      </c>
      <c r="L142" s="34"/>
      <c r="M142" s="5"/>
    </row>
    <row r="143" spans="1:64" x14ac:dyDescent="0.25">
      <c r="A143" s="5"/>
      <c r="C143" s="87" t="s">
        <v>346</v>
      </c>
      <c r="D143" s="88"/>
      <c r="E143" s="88"/>
      <c r="G143" s="22">
        <v>14</v>
      </c>
      <c r="L143" s="34"/>
      <c r="M143" s="5"/>
    </row>
    <row r="144" spans="1:64" x14ac:dyDescent="0.25">
      <c r="A144" s="4" t="s">
        <v>36</v>
      </c>
      <c r="B144" s="14" t="s">
        <v>134</v>
      </c>
      <c r="C144" s="85" t="s">
        <v>347</v>
      </c>
      <c r="D144" s="86"/>
      <c r="E144" s="86"/>
      <c r="F144" s="14" t="s">
        <v>495</v>
      </c>
      <c r="G144" s="21">
        <v>294</v>
      </c>
      <c r="H144" s="21">
        <v>0</v>
      </c>
      <c r="I144" s="21">
        <f>G144*AO144</f>
        <v>0</v>
      </c>
      <c r="J144" s="21">
        <f>G144*AP144</f>
        <v>0</v>
      </c>
      <c r="K144" s="21">
        <f>G144*H144</f>
        <v>0</v>
      </c>
      <c r="L144" s="33" t="s">
        <v>517</v>
      </c>
      <c r="M144" s="5"/>
      <c r="Z144" s="40">
        <f>IF(AQ144="5",BJ144,0)</f>
        <v>0</v>
      </c>
      <c r="AB144" s="40">
        <f>IF(AQ144="1",BH144,0)</f>
        <v>0</v>
      </c>
      <c r="AC144" s="40">
        <f>IF(AQ144="1",BI144,0)</f>
        <v>0</v>
      </c>
      <c r="AD144" s="40">
        <f>IF(AQ144="7",BH144,0)</f>
        <v>0</v>
      </c>
      <c r="AE144" s="40">
        <f>IF(AQ144="7",BI144,0)</f>
        <v>0</v>
      </c>
      <c r="AF144" s="40">
        <f>IF(AQ144="2",BH144,0)</f>
        <v>0</v>
      </c>
      <c r="AG144" s="40">
        <f>IF(AQ144="2",BI144,0)</f>
        <v>0</v>
      </c>
      <c r="AH144" s="40">
        <f>IF(AQ144="0",BJ144,0)</f>
        <v>0</v>
      </c>
      <c r="AI144" s="39"/>
      <c r="AJ144" s="21">
        <f>IF(AN144=0,K144,0)</f>
        <v>0</v>
      </c>
      <c r="AK144" s="21">
        <f>IF(AN144=15,K144,0)</f>
        <v>0</v>
      </c>
      <c r="AL144" s="21">
        <f>IF(AN144=21,K144,0)</f>
        <v>0</v>
      </c>
      <c r="AN144" s="40">
        <v>15</v>
      </c>
      <c r="AO144" s="40">
        <f>H144*0.312212931339065</f>
        <v>0</v>
      </c>
      <c r="AP144" s="40">
        <f>H144*(1-0.312212931339065)</f>
        <v>0</v>
      </c>
      <c r="AQ144" s="41" t="s">
        <v>13</v>
      </c>
      <c r="AV144" s="40">
        <f>AW144+AX144</f>
        <v>0</v>
      </c>
      <c r="AW144" s="40">
        <f>G144*AO144</f>
        <v>0</v>
      </c>
      <c r="AX144" s="40">
        <f>G144*AP144</f>
        <v>0</v>
      </c>
      <c r="AY144" s="43" t="s">
        <v>533</v>
      </c>
      <c r="AZ144" s="43" t="s">
        <v>552</v>
      </c>
      <c r="BA144" s="39" t="s">
        <v>557</v>
      </c>
      <c r="BC144" s="40">
        <f>AW144+AX144</f>
        <v>0</v>
      </c>
      <c r="BD144" s="40">
        <f>H144/(100-BE144)*100</f>
        <v>0</v>
      </c>
      <c r="BE144" s="40">
        <v>0</v>
      </c>
      <c r="BF144" s="40">
        <f>144</f>
        <v>144</v>
      </c>
      <c r="BH144" s="21">
        <f>G144*AO144</f>
        <v>0</v>
      </c>
      <c r="BI144" s="21">
        <f>G144*AP144</f>
        <v>0</v>
      </c>
      <c r="BJ144" s="21">
        <f>G144*H144</f>
        <v>0</v>
      </c>
      <c r="BK144" s="21" t="s">
        <v>562</v>
      </c>
      <c r="BL144" s="40">
        <v>713</v>
      </c>
    </row>
    <row r="145" spans="1:64" x14ac:dyDescent="0.25">
      <c r="A145" s="5"/>
      <c r="C145" s="87" t="s">
        <v>348</v>
      </c>
      <c r="D145" s="88"/>
      <c r="E145" s="88"/>
      <c r="G145" s="22">
        <v>294</v>
      </c>
      <c r="L145" s="34"/>
      <c r="M145" s="5"/>
    </row>
    <row r="146" spans="1:64" x14ac:dyDescent="0.25">
      <c r="A146" s="6"/>
      <c r="B146" s="15" t="s">
        <v>135</v>
      </c>
      <c r="C146" s="83" t="s">
        <v>349</v>
      </c>
      <c r="D146" s="84"/>
      <c r="E146" s="84"/>
      <c r="F146" s="19" t="s">
        <v>6</v>
      </c>
      <c r="G146" s="19" t="s">
        <v>6</v>
      </c>
      <c r="H146" s="19" t="s">
        <v>6</v>
      </c>
      <c r="I146" s="46">
        <f>SUM(I147:I149)</f>
        <v>0</v>
      </c>
      <c r="J146" s="46">
        <f>SUM(J147:J149)</f>
        <v>0</v>
      </c>
      <c r="K146" s="46">
        <f>SUM(K147:K149)</f>
        <v>0</v>
      </c>
      <c r="L146" s="35"/>
      <c r="M146" s="5"/>
      <c r="AI146" s="39"/>
      <c r="AS146" s="46">
        <f>SUM(AJ147:AJ149)</f>
        <v>0</v>
      </c>
      <c r="AT146" s="46">
        <f>SUM(AK147:AK149)</f>
        <v>0</v>
      </c>
      <c r="AU146" s="46">
        <f>SUM(AL147:AL149)</f>
        <v>0</v>
      </c>
    </row>
    <row r="147" spans="1:64" x14ac:dyDescent="0.25">
      <c r="A147" s="4" t="s">
        <v>37</v>
      </c>
      <c r="B147" s="14" t="s">
        <v>136</v>
      </c>
      <c r="C147" s="85" t="s">
        <v>350</v>
      </c>
      <c r="D147" s="86"/>
      <c r="E147" s="86"/>
      <c r="F147" s="14" t="s">
        <v>497</v>
      </c>
      <c r="G147" s="21">
        <v>4</v>
      </c>
      <c r="H147" s="21">
        <v>0</v>
      </c>
      <c r="I147" s="21">
        <f>G147*AO147</f>
        <v>0</v>
      </c>
      <c r="J147" s="21">
        <f>G147*AP147</f>
        <v>0</v>
      </c>
      <c r="K147" s="21">
        <f>G147*H147</f>
        <v>0</v>
      </c>
      <c r="L147" s="33" t="s">
        <v>517</v>
      </c>
      <c r="M147" s="5"/>
      <c r="Z147" s="40">
        <f>IF(AQ147="5",BJ147,0)</f>
        <v>0</v>
      </c>
      <c r="AB147" s="40">
        <f>IF(AQ147="1",BH147,0)</f>
        <v>0</v>
      </c>
      <c r="AC147" s="40">
        <f>IF(AQ147="1",BI147,0)</f>
        <v>0</v>
      </c>
      <c r="AD147" s="40">
        <f>IF(AQ147="7",BH147,0)</f>
        <v>0</v>
      </c>
      <c r="AE147" s="40">
        <f>IF(AQ147="7",BI147,0)</f>
        <v>0</v>
      </c>
      <c r="AF147" s="40">
        <f>IF(AQ147="2",BH147,0)</f>
        <v>0</v>
      </c>
      <c r="AG147" s="40">
        <f>IF(AQ147="2",BI147,0)</f>
        <v>0</v>
      </c>
      <c r="AH147" s="40">
        <f>IF(AQ147="0",BJ147,0)</f>
        <v>0</v>
      </c>
      <c r="AI147" s="39"/>
      <c r="AJ147" s="21">
        <f>IF(AN147=0,K147,0)</f>
        <v>0</v>
      </c>
      <c r="AK147" s="21">
        <f>IF(AN147=15,K147,0)</f>
        <v>0</v>
      </c>
      <c r="AL147" s="21">
        <f>IF(AN147=21,K147,0)</f>
        <v>0</v>
      </c>
      <c r="AN147" s="40">
        <v>15</v>
      </c>
      <c r="AO147" s="40">
        <f>H147*0</f>
        <v>0</v>
      </c>
      <c r="AP147" s="40">
        <f>H147*(1-0)</f>
        <v>0</v>
      </c>
      <c r="AQ147" s="41" t="s">
        <v>13</v>
      </c>
      <c r="AV147" s="40">
        <f>AW147+AX147</f>
        <v>0</v>
      </c>
      <c r="AW147" s="40">
        <f>G147*AO147</f>
        <v>0</v>
      </c>
      <c r="AX147" s="40">
        <f>G147*AP147</f>
        <v>0</v>
      </c>
      <c r="AY147" s="43" t="s">
        <v>534</v>
      </c>
      <c r="AZ147" s="43" t="s">
        <v>553</v>
      </c>
      <c r="BA147" s="39" t="s">
        <v>557</v>
      </c>
      <c r="BC147" s="40">
        <f>AW147+AX147</f>
        <v>0</v>
      </c>
      <c r="BD147" s="40">
        <f>H147/(100-BE147)*100</f>
        <v>0</v>
      </c>
      <c r="BE147" s="40">
        <v>0</v>
      </c>
      <c r="BF147" s="40">
        <f>147</f>
        <v>147</v>
      </c>
      <c r="BH147" s="21">
        <f>G147*AO147</f>
        <v>0</v>
      </c>
      <c r="BI147" s="21">
        <f>G147*AP147</f>
        <v>0</v>
      </c>
      <c r="BJ147" s="21">
        <f>G147*H147</f>
        <v>0</v>
      </c>
      <c r="BK147" s="21" t="s">
        <v>562</v>
      </c>
      <c r="BL147" s="40">
        <v>721</v>
      </c>
    </row>
    <row r="148" spans="1:64" x14ac:dyDescent="0.25">
      <c r="A148" s="5"/>
      <c r="C148" s="87" t="s">
        <v>351</v>
      </c>
      <c r="D148" s="88"/>
      <c r="E148" s="88"/>
      <c r="G148" s="22">
        <v>4</v>
      </c>
      <c r="L148" s="34"/>
      <c r="M148" s="5"/>
    </row>
    <row r="149" spans="1:64" x14ac:dyDescent="0.25">
      <c r="A149" s="4" t="s">
        <v>38</v>
      </c>
      <c r="B149" s="14" t="s">
        <v>137</v>
      </c>
      <c r="C149" s="85" t="s">
        <v>352</v>
      </c>
      <c r="D149" s="86"/>
      <c r="E149" s="86"/>
      <c r="F149" s="14" t="s">
        <v>497</v>
      </c>
      <c r="G149" s="21">
        <v>4</v>
      </c>
      <c r="H149" s="21">
        <v>0</v>
      </c>
      <c r="I149" s="21">
        <f>G149*AO149</f>
        <v>0</v>
      </c>
      <c r="J149" s="21">
        <f>G149*AP149</f>
        <v>0</v>
      </c>
      <c r="K149" s="21">
        <f>G149*H149</f>
        <v>0</v>
      </c>
      <c r="L149" s="33" t="s">
        <v>517</v>
      </c>
      <c r="M149" s="5"/>
      <c r="Z149" s="40">
        <f>IF(AQ149="5",BJ149,0)</f>
        <v>0</v>
      </c>
      <c r="AB149" s="40">
        <f>IF(AQ149="1",BH149,0)</f>
        <v>0</v>
      </c>
      <c r="AC149" s="40">
        <f>IF(AQ149="1",BI149,0)</f>
        <v>0</v>
      </c>
      <c r="AD149" s="40">
        <f>IF(AQ149="7",BH149,0)</f>
        <v>0</v>
      </c>
      <c r="AE149" s="40">
        <f>IF(AQ149="7",BI149,0)</f>
        <v>0</v>
      </c>
      <c r="AF149" s="40">
        <f>IF(AQ149="2",BH149,0)</f>
        <v>0</v>
      </c>
      <c r="AG149" s="40">
        <f>IF(AQ149="2",BI149,0)</f>
        <v>0</v>
      </c>
      <c r="AH149" s="40">
        <f>IF(AQ149="0",BJ149,0)</f>
        <v>0</v>
      </c>
      <c r="AI149" s="39"/>
      <c r="AJ149" s="21">
        <f>IF(AN149=0,K149,0)</f>
        <v>0</v>
      </c>
      <c r="AK149" s="21">
        <f>IF(AN149=15,K149,0)</f>
        <v>0</v>
      </c>
      <c r="AL149" s="21">
        <f>IF(AN149=21,K149,0)</f>
        <v>0</v>
      </c>
      <c r="AN149" s="40">
        <v>15</v>
      </c>
      <c r="AO149" s="40">
        <f>H149*0.770215016194676</f>
        <v>0</v>
      </c>
      <c r="AP149" s="40">
        <f>H149*(1-0.770215016194676)</f>
        <v>0</v>
      </c>
      <c r="AQ149" s="41" t="s">
        <v>13</v>
      </c>
      <c r="AV149" s="40">
        <f>AW149+AX149</f>
        <v>0</v>
      </c>
      <c r="AW149" s="40">
        <f>G149*AO149</f>
        <v>0</v>
      </c>
      <c r="AX149" s="40">
        <f>G149*AP149</f>
        <v>0</v>
      </c>
      <c r="AY149" s="43" t="s">
        <v>534</v>
      </c>
      <c r="AZ149" s="43" t="s">
        <v>553</v>
      </c>
      <c r="BA149" s="39" t="s">
        <v>557</v>
      </c>
      <c r="BC149" s="40">
        <f>AW149+AX149</f>
        <v>0</v>
      </c>
      <c r="BD149" s="40">
        <f>H149/(100-BE149)*100</f>
        <v>0</v>
      </c>
      <c r="BE149" s="40">
        <v>0</v>
      </c>
      <c r="BF149" s="40">
        <f>149</f>
        <v>149</v>
      </c>
      <c r="BH149" s="21">
        <f>G149*AO149</f>
        <v>0</v>
      </c>
      <c r="BI149" s="21">
        <f>G149*AP149</f>
        <v>0</v>
      </c>
      <c r="BJ149" s="21">
        <f>G149*H149</f>
        <v>0</v>
      </c>
      <c r="BK149" s="21" t="s">
        <v>562</v>
      </c>
      <c r="BL149" s="40">
        <v>721</v>
      </c>
    </row>
    <row r="150" spans="1:64" x14ac:dyDescent="0.25">
      <c r="A150" s="5"/>
      <c r="C150" s="87" t="s">
        <v>353</v>
      </c>
      <c r="D150" s="88"/>
      <c r="E150" s="88"/>
      <c r="G150" s="22">
        <v>4</v>
      </c>
      <c r="L150" s="34"/>
      <c r="M150" s="5"/>
    </row>
    <row r="151" spans="1:64" x14ac:dyDescent="0.25">
      <c r="A151" s="6"/>
      <c r="B151" s="15" t="s">
        <v>138</v>
      </c>
      <c r="C151" s="83" t="s">
        <v>354</v>
      </c>
      <c r="D151" s="84"/>
      <c r="E151" s="84"/>
      <c r="F151" s="19" t="s">
        <v>6</v>
      </c>
      <c r="G151" s="19" t="s">
        <v>6</v>
      </c>
      <c r="H151" s="19" t="s">
        <v>6</v>
      </c>
      <c r="I151" s="46">
        <f>SUM(I152:I152)</f>
        <v>0</v>
      </c>
      <c r="J151" s="46">
        <f>SUM(J152:J152)</f>
        <v>0</v>
      </c>
      <c r="K151" s="46">
        <f>SUM(K152:K152)</f>
        <v>0</v>
      </c>
      <c r="L151" s="35"/>
      <c r="M151" s="5"/>
      <c r="AI151" s="39"/>
      <c r="AS151" s="46">
        <f>SUM(AJ152:AJ152)</f>
        <v>0</v>
      </c>
      <c r="AT151" s="46">
        <f>SUM(AK152:AK152)</f>
        <v>0</v>
      </c>
      <c r="AU151" s="46">
        <f>SUM(AL152:AL152)</f>
        <v>0</v>
      </c>
    </row>
    <row r="152" spans="1:64" x14ac:dyDescent="0.25">
      <c r="A152" s="4" t="s">
        <v>39</v>
      </c>
      <c r="B152" s="14" t="s">
        <v>139</v>
      </c>
      <c r="C152" s="85" t="s">
        <v>355</v>
      </c>
      <c r="D152" s="86"/>
      <c r="E152" s="86"/>
      <c r="F152" s="14" t="s">
        <v>495</v>
      </c>
      <c r="G152" s="21">
        <v>30</v>
      </c>
      <c r="H152" s="21">
        <v>0</v>
      </c>
      <c r="I152" s="21">
        <f>G152*AO152</f>
        <v>0</v>
      </c>
      <c r="J152" s="21">
        <f>G152*AP152</f>
        <v>0</v>
      </c>
      <c r="K152" s="21">
        <f>G152*H152</f>
        <v>0</v>
      </c>
      <c r="L152" s="33" t="s">
        <v>517</v>
      </c>
      <c r="M152" s="5"/>
      <c r="Z152" s="40">
        <f>IF(AQ152="5",BJ152,0)</f>
        <v>0</v>
      </c>
      <c r="AB152" s="40">
        <f>IF(AQ152="1",BH152,0)</f>
        <v>0</v>
      </c>
      <c r="AC152" s="40">
        <f>IF(AQ152="1",BI152,0)</f>
        <v>0</v>
      </c>
      <c r="AD152" s="40">
        <f>IF(AQ152="7",BH152,0)</f>
        <v>0</v>
      </c>
      <c r="AE152" s="40">
        <f>IF(AQ152="7",BI152,0)</f>
        <v>0</v>
      </c>
      <c r="AF152" s="40">
        <f>IF(AQ152="2",BH152,0)</f>
        <v>0</v>
      </c>
      <c r="AG152" s="40">
        <f>IF(AQ152="2",BI152,0)</f>
        <v>0</v>
      </c>
      <c r="AH152" s="40">
        <f>IF(AQ152="0",BJ152,0)</f>
        <v>0</v>
      </c>
      <c r="AI152" s="39"/>
      <c r="AJ152" s="21">
        <f>IF(AN152=0,K152,0)</f>
        <v>0</v>
      </c>
      <c r="AK152" s="21">
        <f>IF(AN152=15,K152,0)</f>
        <v>0</v>
      </c>
      <c r="AL152" s="21">
        <f>IF(AN152=21,K152,0)</f>
        <v>0</v>
      </c>
      <c r="AN152" s="40">
        <v>15</v>
      </c>
      <c r="AO152" s="40">
        <f>H152*0.545553495807752</f>
        <v>0</v>
      </c>
      <c r="AP152" s="40">
        <f>H152*(1-0.545553495807752)</f>
        <v>0</v>
      </c>
      <c r="AQ152" s="41" t="s">
        <v>13</v>
      </c>
      <c r="AV152" s="40">
        <f>AW152+AX152</f>
        <v>0</v>
      </c>
      <c r="AW152" s="40">
        <f>G152*AO152</f>
        <v>0</v>
      </c>
      <c r="AX152" s="40">
        <f>G152*AP152</f>
        <v>0</v>
      </c>
      <c r="AY152" s="43" t="s">
        <v>535</v>
      </c>
      <c r="AZ152" s="43" t="s">
        <v>554</v>
      </c>
      <c r="BA152" s="39" t="s">
        <v>557</v>
      </c>
      <c r="BC152" s="40">
        <f>AW152+AX152</f>
        <v>0</v>
      </c>
      <c r="BD152" s="40">
        <f>H152/(100-BE152)*100</f>
        <v>0</v>
      </c>
      <c r="BE152" s="40">
        <v>0</v>
      </c>
      <c r="BF152" s="40">
        <f>152</f>
        <v>152</v>
      </c>
      <c r="BH152" s="21">
        <f>G152*AO152</f>
        <v>0</v>
      </c>
      <c r="BI152" s="21">
        <f>G152*AP152</f>
        <v>0</v>
      </c>
      <c r="BJ152" s="21">
        <f>G152*H152</f>
        <v>0</v>
      </c>
      <c r="BK152" s="21" t="s">
        <v>562</v>
      </c>
      <c r="BL152" s="40">
        <v>762</v>
      </c>
    </row>
    <row r="153" spans="1:64" x14ac:dyDescent="0.25">
      <c r="A153" s="5"/>
      <c r="C153" s="87" t="s">
        <v>356</v>
      </c>
      <c r="D153" s="88"/>
      <c r="E153" s="88"/>
      <c r="G153" s="22">
        <v>30</v>
      </c>
      <c r="L153" s="34"/>
      <c r="M153" s="5"/>
    </row>
    <row r="154" spans="1:64" x14ac:dyDescent="0.25">
      <c r="A154" s="6"/>
      <c r="B154" s="15" t="s">
        <v>140</v>
      </c>
      <c r="C154" s="83" t="s">
        <v>357</v>
      </c>
      <c r="D154" s="84"/>
      <c r="E154" s="84"/>
      <c r="F154" s="19" t="s">
        <v>6</v>
      </c>
      <c r="G154" s="19" t="s">
        <v>6</v>
      </c>
      <c r="H154" s="19" t="s">
        <v>6</v>
      </c>
      <c r="I154" s="46">
        <f>SUM(I155:I194)</f>
        <v>0</v>
      </c>
      <c r="J154" s="46">
        <f>SUM(J155:J194)</f>
        <v>0</v>
      </c>
      <c r="K154" s="46">
        <f>SUM(K155:K194)</f>
        <v>0</v>
      </c>
      <c r="L154" s="35"/>
      <c r="M154" s="5"/>
      <c r="AI154" s="39"/>
      <c r="AS154" s="46">
        <f>SUM(AJ155:AJ194)</f>
        <v>0</v>
      </c>
      <c r="AT154" s="46">
        <f>SUM(AK155:AK194)</f>
        <v>0</v>
      </c>
      <c r="AU154" s="46">
        <f>SUM(AL155:AL194)</f>
        <v>0</v>
      </c>
    </row>
    <row r="155" spans="1:64" x14ac:dyDescent="0.25">
      <c r="A155" s="4" t="s">
        <v>40</v>
      </c>
      <c r="B155" s="14" t="s">
        <v>141</v>
      </c>
      <c r="C155" s="85" t="s">
        <v>358</v>
      </c>
      <c r="D155" s="86"/>
      <c r="E155" s="86"/>
      <c r="F155" s="14" t="s">
        <v>496</v>
      </c>
      <c r="G155" s="21">
        <v>104.4</v>
      </c>
      <c r="H155" s="21">
        <v>0</v>
      </c>
      <c r="I155" s="21">
        <f>G155*AO155</f>
        <v>0</v>
      </c>
      <c r="J155" s="21">
        <f>G155*AP155</f>
        <v>0</v>
      </c>
      <c r="K155" s="21">
        <f>G155*H155</f>
        <v>0</v>
      </c>
      <c r="L155" s="33" t="s">
        <v>517</v>
      </c>
      <c r="M155" s="5"/>
      <c r="Z155" s="40">
        <f>IF(AQ155="5",BJ155,0)</f>
        <v>0</v>
      </c>
      <c r="AB155" s="40">
        <f>IF(AQ155="1",BH155,0)</f>
        <v>0</v>
      </c>
      <c r="AC155" s="40">
        <f>IF(AQ155="1",BI155,0)</f>
        <v>0</v>
      </c>
      <c r="AD155" s="40">
        <f>IF(AQ155="7",BH155,0)</f>
        <v>0</v>
      </c>
      <c r="AE155" s="40">
        <f>IF(AQ155="7",BI155,0)</f>
        <v>0</v>
      </c>
      <c r="AF155" s="40">
        <f>IF(AQ155="2",BH155,0)</f>
        <v>0</v>
      </c>
      <c r="AG155" s="40">
        <f>IF(AQ155="2",BI155,0)</f>
        <v>0</v>
      </c>
      <c r="AH155" s="40">
        <f>IF(AQ155="0",BJ155,0)</f>
        <v>0</v>
      </c>
      <c r="AI155" s="39"/>
      <c r="AJ155" s="21">
        <f>IF(AN155=0,K155,0)</f>
        <v>0</v>
      </c>
      <c r="AK155" s="21">
        <f>IF(AN155=15,K155,0)</f>
        <v>0</v>
      </c>
      <c r="AL155" s="21">
        <f>IF(AN155=21,K155,0)</f>
        <v>0</v>
      </c>
      <c r="AN155" s="40">
        <v>15</v>
      </c>
      <c r="AO155" s="40">
        <f>H155*0</f>
        <v>0</v>
      </c>
      <c r="AP155" s="40">
        <f>H155*(1-0)</f>
        <v>0</v>
      </c>
      <c r="AQ155" s="41" t="s">
        <v>13</v>
      </c>
      <c r="AV155" s="40">
        <f>AW155+AX155</f>
        <v>0</v>
      </c>
      <c r="AW155" s="40">
        <f>G155*AO155</f>
        <v>0</v>
      </c>
      <c r="AX155" s="40">
        <f>G155*AP155</f>
        <v>0</v>
      </c>
      <c r="AY155" s="43" t="s">
        <v>536</v>
      </c>
      <c r="AZ155" s="43" t="s">
        <v>554</v>
      </c>
      <c r="BA155" s="39" t="s">
        <v>557</v>
      </c>
      <c r="BC155" s="40">
        <f>AW155+AX155</f>
        <v>0</v>
      </c>
      <c r="BD155" s="40">
        <f>H155/(100-BE155)*100</f>
        <v>0</v>
      </c>
      <c r="BE155" s="40">
        <v>0</v>
      </c>
      <c r="BF155" s="40">
        <f>155</f>
        <v>155</v>
      </c>
      <c r="BH155" s="21">
        <f>G155*AO155</f>
        <v>0</v>
      </c>
      <c r="BI155" s="21">
        <f>G155*AP155</f>
        <v>0</v>
      </c>
      <c r="BJ155" s="21">
        <f>G155*H155</f>
        <v>0</v>
      </c>
      <c r="BK155" s="21" t="s">
        <v>562</v>
      </c>
      <c r="BL155" s="40">
        <v>764</v>
      </c>
    </row>
    <row r="156" spans="1:64" x14ac:dyDescent="0.25">
      <c r="A156" s="5"/>
      <c r="C156" s="87" t="s">
        <v>359</v>
      </c>
      <c r="D156" s="88"/>
      <c r="E156" s="88"/>
      <c r="G156" s="22">
        <v>50.4</v>
      </c>
      <c r="L156" s="34"/>
      <c r="M156" s="5"/>
    </row>
    <row r="157" spans="1:64" x14ac:dyDescent="0.25">
      <c r="A157" s="5"/>
      <c r="C157" s="87" t="s">
        <v>360</v>
      </c>
      <c r="D157" s="88"/>
      <c r="E157" s="88"/>
      <c r="G157" s="22">
        <v>54</v>
      </c>
      <c r="L157" s="34"/>
      <c r="M157" s="5"/>
    </row>
    <row r="158" spans="1:64" x14ac:dyDescent="0.25">
      <c r="A158" s="4" t="s">
        <v>41</v>
      </c>
      <c r="B158" s="14" t="s">
        <v>142</v>
      </c>
      <c r="C158" s="85" t="s">
        <v>361</v>
      </c>
      <c r="D158" s="86"/>
      <c r="E158" s="86"/>
      <c r="F158" s="14" t="s">
        <v>496</v>
      </c>
      <c r="G158" s="21">
        <v>81.8</v>
      </c>
      <c r="H158" s="21">
        <v>0</v>
      </c>
      <c r="I158" s="21">
        <f>G158*AO158</f>
        <v>0</v>
      </c>
      <c r="J158" s="21">
        <f>G158*AP158</f>
        <v>0</v>
      </c>
      <c r="K158" s="21">
        <f>G158*H158</f>
        <v>0</v>
      </c>
      <c r="L158" s="33" t="s">
        <v>517</v>
      </c>
      <c r="M158" s="5"/>
      <c r="Z158" s="40">
        <f>IF(AQ158="5",BJ158,0)</f>
        <v>0</v>
      </c>
      <c r="AB158" s="40">
        <f>IF(AQ158="1",BH158,0)</f>
        <v>0</v>
      </c>
      <c r="AC158" s="40">
        <f>IF(AQ158="1",BI158,0)</f>
        <v>0</v>
      </c>
      <c r="AD158" s="40">
        <f>IF(AQ158="7",BH158,0)</f>
        <v>0</v>
      </c>
      <c r="AE158" s="40">
        <f>IF(AQ158="7",BI158,0)</f>
        <v>0</v>
      </c>
      <c r="AF158" s="40">
        <f>IF(AQ158="2",BH158,0)</f>
        <v>0</v>
      </c>
      <c r="AG158" s="40">
        <f>IF(AQ158="2",BI158,0)</f>
        <v>0</v>
      </c>
      <c r="AH158" s="40">
        <f>IF(AQ158="0",BJ158,0)</f>
        <v>0</v>
      </c>
      <c r="AI158" s="39"/>
      <c r="AJ158" s="21">
        <f>IF(AN158=0,K158,0)</f>
        <v>0</v>
      </c>
      <c r="AK158" s="21">
        <f>IF(AN158=15,K158,0)</f>
        <v>0</v>
      </c>
      <c r="AL158" s="21">
        <f>IF(AN158=21,K158,0)</f>
        <v>0</v>
      </c>
      <c r="AN158" s="40">
        <v>15</v>
      </c>
      <c r="AO158" s="40">
        <f>H158*0</f>
        <v>0</v>
      </c>
      <c r="AP158" s="40">
        <f>H158*(1-0)</f>
        <v>0</v>
      </c>
      <c r="AQ158" s="41" t="s">
        <v>13</v>
      </c>
      <c r="AV158" s="40">
        <f>AW158+AX158</f>
        <v>0</v>
      </c>
      <c r="AW158" s="40">
        <f>G158*AO158</f>
        <v>0</v>
      </c>
      <c r="AX158" s="40">
        <f>G158*AP158</f>
        <v>0</v>
      </c>
      <c r="AY158" s="43" t="s">
        <v>536</v>
      </c>
      <c r="AZ158" s="43" t="s">
        <v>554</v>
      </c>
      <c r="BA158" s="39" t="s">
        <v>557</v>
      </c>
      <c r="BC158" s="40">
        <f>AW158+AX158</f>
        <v>0</v>
      </c>
      <c r="BD158" s="40">
        <f>H158/(100-BE158)*100</f>
        <v>0</v>
      </c>
      <c r="BE158" s="40">
        <v>0</v>
      </c>
      <c r="BF158" s="40">
        <f>158</f>
        <v>158</v>
      </c>
      <c r="BH158" s="21">
        <f>G158*AO158</f>
        <v>0</v>
      </c>
      <c r="BI158" s="21">
        <f>G158*AP158</f>
        <v>0</v>
      </c>
      <c r="BJ158" s="21">
        <f>G158*H158</f>
        <v>0</v>
      </c>
      <c r="BK158" s="21" t="s">
        <v>562</v>
      </c>
      <c r="BL158" s="40">
        <v>764</v>
      </c>
    </row>
    <row r="159" spans="1:64" x14ac:dyDescent="0.25">
      <c r="A159" s="5"/>
      <c r="C159" s="87" t="s">
        <v>362</v>
      </c>
      <c r="D159" s="88"/>
      <c r="E159" s="88"/>
      <c r="G159" s="22">
        <v>81.8</v>
      </c>
      <c r="L159" s="34"/>
      <c r="M159" s="5"/>
    </row>
    <row r="160" spans="1:64" x14ac:dyDescent="0.25">
      <c r="A160" s="4" t="s">
        <v>42</v>
      </c>
      <c r="B160" s="14" t="s">
        <v>143</v>
      </c>
      <c r="C160" s="85" t="s">
        <v>363</v>
      </c>
      <c r="D160" s="86"/>
      <c r="E160" s="86"/>
      <c r="F160" s="14" t="s">
        <v>495</v>
      </c>
      <c r="G160" s="21">
        <v>3.12</v>
      </c>
      <c r="H160" s="21">
        <v>0</v>
      </c>
      <c r="I160" s="21">
        <f>G160*AO160</f>
        <v>0</v>
      </c>
      <c r="J160" s="21">
        <f>G160*AP160</f>
        <v>0</v>
      </c>
      <c r="K160" s="21">
        <f>G160*H160</f>
        <v>0</v>
      </c>
      <c r="L160" s="33" t="s">
        <v>517</v>
      </c>
      <c r="M160" s="5"/>
      <c r="Z160" s="40">
        <f>IF(AQ160="5",BJ160,0)</f>
        <v>0</v>
      </c>
      <c r="AB160" s="40">
        <f>IF(AQ160="1",BH160,0)</f>
        <v>0</v>
      </c>
      <c r="AC160" s="40">
        <f>IF(AQ160="1",BI160,0)</f>
        <v>0</v>
      </c>
      <c r="AD160" s="40">
        <f>IF(AQ160="7",BH160,0)</f>
        <v>0</v>
      </c>
      <c r="AE160" s="40">
        <f>IF(AQ160="7",BI160,0)</f>
        <v>0</v>
      </c>
      <c r="AF160" s="40">
        <f>IF(AQ160="2",BH160,0)</f>
        <v>0</v>
      </c>
      <c r="AG160" s="40">
        <f>IF(AQ160="2",BI160,0)</f>
        <v>0</v>
      </c>
      <c r="AH160" s="40">
        <f>IF(AQ160="0",BJ160,0)</f>
        <v>0</v>
      </c>
      <c r="AI160" s="39"/>
      <c r="AJ160" s="21">
        <f>IF(AN160=0,K160,0)</f>
        <v>0</v>
      </c>
      <c r="AK160" s="21">
        <f>IF(AN160=15,K160,0)</f>
        <v>0</v>
      </c>
      <c r="AL160" s="21">
        <f>IF(AN160=21,K160,0)</f>
        <v>0</v>
      </c>
      <c r="AN160" s="40">
        <v>15</v>
      </c>
      <c r="AO160" s="40">
        <f>H160*0</f>
        <v>0</v>
      </c>
      <c r="AP160" s="40">
        <f>H160*(1-0)</f>
        <v>0</v>
      </c>
      <c r="AQ160" s="41" t="s">
        <v>13</v>
      </c>
      <c r="AV160" s="40">
        <f>AW160+AX160</f>
        <v>0</v>
      </c>
      <c r="AW160" s="40">
        <f>G160*AO160</f>
        <v>0</v>
      </c>
      <c r="AX160" s="40">
        <f>G160*AP160</f>
        <v>0</v>
      </c>
      <c r="AY160" s="43" t="s">
        <v>536</v>
      </c>
      <c r="AZ160" s="43" t="s">
        <v>554</v>
      </c>
      <c r="BA160" s="39" t="s">
        <v>557</v>
      </c>
      <c r="BC160" s="40">
        <f>AW160+AX160</f>
        <v>0</v>
      </c>
      <c r="BD160" s="40">
        <f>H160/(100-BE160)*100</f>
        <v>0</v>
      </c>
      <c r="BE160" s="40">
        <v>0</v>
      </c>
      <c r="BF160" s="40">
        <f>160</f>
        <v>160</v>
      </c>
      <c r="BH160" s="21">
        <f>G160*AO160</f>
        <v>0</v>
      </c>
      <c r="BI160" s="21">
        <f>G160*AP160</f>
        <v>0</v>
      </c>
      <c r="BJ160" s="21">
        <f>G160*H160</f>
        <v>0</v>
      </c>
      <c r="BK160" s="21" t="s">
        <v>562</v>
      </c>
      <c r="BL160" s="40">
        <v>764</v>
      </c>
    </row>
    <row r="161" spans="1:64" x14ac:dyDescent="0.25">
      <c r="A161" s="5"/>
      <c r="C161" s="87" t="s">
        <v>364</v>
      </c>
      <c r="D161" s="88"/>
      <c r="E161" s="88"/>
      <c r="G161" s="22">
        <v>3.12</v>
      </c>
      <c r="L161" s="34"/>
      <c r="M161" s="5"/>
    </row>
    <row r="162" spans="1:64" x14ac:dyDescent="0.25">
      <c r="A162" s="4" t="s">
        <v>43</v>
      </c>
      <c r="B162" s="14" t="s">
        <v>144</v>
      </c>
      <c r="C162" s="85" t="s">
        <v>365</v>
      </c>
      <c r="D162" s="86"/>
      <c r="E162" s="86"/>
      <c r="F162" s="14" t="s">
        <v>496</v>
      </c>
      <c r="G162" s="21">
        <v>44</v>
      </c>
      <c r="H162" s="21">
        <v>0</v>
      </c>
      <c r="I162" s="21">
        <f>G162*AO162</f>
        <v>0</v>
      </c>
      <c r="J162" s="21">
        <f>G162*AP162</f>
        <v>0</v>
      </c>
      <c r="K162" s="21">
        <f>G162*H162</f>
        <v>0</v>
      </c>
      <c r="L162" s="33" t="s">
        <v>517</v>
      </c>
      <c r="M162" s="5"/>
      <c r="Z162" s="40">
        <f>IF(AQ162="5",BJ162,0)</f>
        <v>0</v>
      </c>
      <c r="AB162" s="40">
        <f>IF(AQ162="1",BH162,0)</f>
        <v>0</v>
      </c>
      <c r="AC162" s="40">
        <f>IF(AQ162="1",BI162,0)</f>
        <v>0</v>
      </c>
      <c r="AD162" s="40">
        <f>IF(AQ162="7",BH162,0)</f>
        <v>0</v>
      </c>
      <c r="AE162" s="40">
        <f>IF(AQ162="7",BI162,0)</f>
        <v>0</v>
      </c>
      <c r="AF162" s="40">
        <f>IF(AQ162="2",BH162,0)</f>
        <v>0</v>
      </c>
      <c r="AG162" s="40">
        <f>IF(AQ162="2",BI162,0)</f>
        <v>0</v>
      </c>
      <c r="AH162" s="40">
        <f>IF(AQ162="0",BJ162,0)</f>
        <v>0</v>
      </c>
      <c r="AI162" s="39"/>
      <c r="AJ162" s="21">
        <f>IF(AN162=0,K162,0)</f>
        <v>0</v>
      </c>
      <c r="AK162" s="21">
        <f>IF(AN162=15,K162,0)</f>
        <v>0</v>
      </c>
      <c r="AL162" s="21">
        <f>IF(AN162=21,K162,0)</f>
        <v>0</v>
      </c>
      <c r="AN162" s="40">
        <v>15</v>
      </c>
      <c r="AO162" s="40">
        <f>H162*0</f>
        <v>0</v>
      </c>
      <c r="AP162" s="40">
        <f>H162*(1-0)</f>
        <v>0</v>
      </c>
      <c r="AQ162" s="41" t="s">
        <v>13</v>
      </c>
      <c r="AV162" s="40">
        <f>AW162+AX162</f>
        <v>0</v>
      </c>
      <c r="AW162" s="40">
        <f>G162*AO162</f>
        <v>0</v>
      </c>
      <c r="AX162" s="40">
        <f>G162*AP162</f>
        <v>0</v>
      </c>
      <c r="AY162" s="43" t="s">
        <v>536</v>
      </c>
      <c r="AZ162" s="43" t="s">
        <v>554</v>
      </c>
      <c r="BA162" s="39" t="s">
        <v>557</v>
      </c>
      <c r="BC162" s="40">
        <f>AW162+AX162</f>
        <v>0</v>
      </c>
      <c r="BD162" s="40">
        <f>H162/(100-BE162)*100</f>
        <v>0</v>
      </c>
      <c r="BE162" s="40">
        <v>0</v>
      </c>
      <c r="BF162" s="40">
        <f>162</f>
        <v>162</v>
      </c>
      <c r="BH162" s="21">
        <f>G162*AO162</f>
        <v>0</v>
      </c>
      <c r="BI162" s="21">
        <f>G162*AP162</f>
        <v>0</v>
      </c>
      <c r="BJ162" s="21">
        <f>G162*H162</f>
        <v>0</v>
      </c>
      <c r="BK162" s="21" t="s">
        <v>562</v>
      </c>
      <c r="BL162" s="40">
        <v>764</v>
      </c>
    </row>
    <row r="163" spans="1:64" x14ac:dyDescent="0.25">
      <c r="A163" s="5"/>
      <c r="C163" s="87" t="s">
        <v>366</v>
      </c>
      <c r="D163" s="88"/>
      <c r="E163" s="88"/>
      <c r="G163" s="22">
        <v>44</v>
      </c>
      <c r="L163" s="34"/>
      <c r="M163" s="5"/>
    </row>
    <row r="164" spans="1:64" x14ac:dyDescent="0.25">
      <c r="A164" s="4" t="s">
        <v>44</v>
      </c>
      <c r="B164" s="14" t="s">
        <v>145</v>
      </c>
      <c r="C164" s="85" t="s">
        <v>367</v>
      </c>
      <c r="D164" s="86"/>
      <c r="E164" s="86"/>
      <c r="F164" s="14" t="s">
        <v>497</v>
      </c>
      <c r="G164" s="21">
        <v>40</v>
      </c>
      <c r="H164" s="21">
        <v>0</v>
      </c>
      <c r="I164" s="21">
        <f>G164*AO164</f>
        <v>0</v>
      </c>
      <c r="J164" s="21">
        <f>G164*AP164</f>
        <v>0</v>
      </c>
      <c r="K164" s="21">
        <f>G164*H164</f>
        <v>0</v>
      </c>
      <c r="L164" s="33" t="s">
        <v>517</v>
      </c>
      <c r="M164" s="5"/>
      <c r="Z164" s="40">
        <f>IF(AQ164="5",BJ164,0)</f>
        <v>0</v>
      </c>
      <c r="AB164" s="40">
        <f>IF(AQ164="1",BH164,0)</f>
        <v>0</v>
      </c>
      <c r="AC164" s="40">
        <f>IF(AQ164="1",BI164,0)</f>
        <v>0</v>
      </c>
      <c r="AD164" s="40">
        <f>IF(AQ164="7",BH164,0)</f>
        <v>0</v>
      </c>
      <c r="AE164" s="40">
        <f>IF(AQ164="7",BI164,0)</f>
        <v>0</v>
      </c>
      <c r="AF164" s="40">
        <f>IF(AQ164="2",BH164,0)</f>
        <v>0</v>
      </c>
      <c r="AG164" s="40">
        <f>IF(AQ164="2",BI164,0)</f>
        <v>0</v>
      </c>
      <c r="AH164" s="40">
        <f>IF(AQ164="0",BJ164,0)</f>
        <v>0</v>
      </c>
      <c r="AI164" s="39"/>
      <c r="AJ164" s="21">
        <f>IF(AN164=0,K164,0)</f>
        <v>0</v>
      </c>
      <c r="AK164" s="21">
        <f>IF(AN164=15,K164,0)</f>
        <v>0</v>
      </c>
      <c r="AL164" s="21">
        <f>IF(AN164=21,K164,0)</f>
        <v>0</v>
      </c>
      <c r="AN164" s="40">
        <v>15</v>
      </c>
      <c r="AO164" s="40">
        <f>H164*0.113257575757576</f>
        <v>0</v>
      </c>
      <c r="AP164" s="40">
        <f>H164*(1-0.113257575757576)</f>
        <v>0</v>
      </c>
      <c r="AQ164" s="41" t="s">
        <v>13</v>
      </c>
      <c r="AV164" s="40">
        <f>AW164+AX164</f>
        <v>0</v>
      </c>
      <c r="AW164" s="40">
        <f>G164*AO164</f>
        <v>0</v>
      </c>
      <c r="AX164" s="40">
        <f>G164*AP164</f>
        <v>0</v>
      </c>
      <c r="AY164" s="43" t="s">
        <v>536</v>
      </c>
      <c r="AZ164" s="43" t="s">
        <v>554</v>
      </c>
      <c r="BA164" s="39" t="s">
        <v>557</v>
      </c>
      <c r="BC164" s="40">
        <f>AW164+AX164</f>
        <v>0</v>
      </c>
      <c r="BD164" s="40">
        <f>H164/(100-BE164)*100</f>
        <v>0</v>
      </c>
      <c r="BE164" s="40">
        <v>0</v>
      </c>
      <c r="BF164" s="40">
        <f>164</f>
        <v>164</v>
      </c>
      <c r="BH164" s="21">
        <f>G164*AO164</f>
        <v>0</v>
      </c>
      <c r="BI164" s="21">
        <f>G164*AP164</f>
        <v>0</v>
      </c>
      <c r="BJ164" s="21">
        <f>G164*H164</f>
        <v>0</v>
      </c>
      <c r="BK164" s="21" t="s">
        <v>562</v>
      </c>
      <c r="BL164" s="40">
        <v>764</v>
      </c>
    </row>
    <row r="165" spans="1:64" x14ac:dyDescent="0.25">
      <c r="A165" s="5"/>
      <c r="C165" s="87" t="s">
        <v>368</v>
      </c>
      <c r="D165" s="88"/>
      <c r="E165" s="88"/>
      <c r="G165" s="22">
        <v>40</v>
      </c>
      <c r="L165" s="34"/>
      <c r="M165" s="5"/>
    </row>
    <row r="166" spans="1:64" x14ac:dyDescent="0.25">
      <c r="A166" s="4" t="s">
        <v>45</v>
      </c>
      <c r="B166" s="14" t="s">
        <v>146</v>
      </c>
      <c r="C166" s="85" t="s">
        <v>369</v>
      </c>
      <c r="D166" s="86"/>
      <c r="E166" s="86"/>
      <c r="F166" s="14" t="s">
        <v>497</v>
      </c>
      <c r="G166" s="21">
        <v>4</v>
      </c>
      <c r="H166" s="21">
        <v>0</v>
      </c>
      <c r="I166" s="21">
        <f>G166*AO166</f>
        <v>0</v>
      </c>
      <c r="J166" s="21">
        <f>G166*AP166</f>
        <v>0</v>
      </c>
      <c r="K166" s="21">
        <f>G166*H166</f>
        <v>0</v>
      </c>
      <c r="L166" s="33" t="s">
        <v>517</v>
      </c>
      <c r="M166" s="5"/>
      <c r="Z166" s="40">
        <f>IF(AQ166="5",BJ166,0)</f>
        <v>0</v>
      </c>
      <c r="AB166" s="40">
        <f>IF(AQ166="1",BH166,0)</f>
        <v>0</v>
      </c>
      <c r="AC166" s="40">
        <f>IF(AQ166="1",BI166,0)</f>
        <v>0</v>
      </c>
      <c r="AD166" s="40">
        <f>IF(AQ166="7",BH166,0)</f>
        <v>0</v>
      </c>
      <c r="AE166" s="40">
        <f>IF(AQ166="7",BI166,0)</f>
        <v>0</v>
      </c>
      <c r="AF166" s="40">
        <f>IF(AQ166="2",BH166,0)</f>
        <v>0</v>
      </c>
      <c r="AG166" s="40">
        <f>IF(AQ166="2",BI166,0)</f>
        <v>0</v>
      </c>
      <c r="AH166" s="40">
        <f>IF(AQ166="0",BJ166,0)</f>
        <v>0</v>
      </c>
      <c r="AI166" s="39"/>
      <c r="AJ166" s="21">
        <f>IF(AN166=0,K166,0)</f>
        <v>0</v>
      </c>
      <c r="AK166" s="21">
        <f>IF(AN166=15,K166,0)</f>
        <v>0</v>
      </c>
      <c r="AL166" s="21">
        <f>IF(AN166=21,K166,0)</f>
        <v>0</v>
      </c>
      <c r="AN166" s="40">
        <v>15</v>
      </c>
      <c r="AO166" s="40">
        <f>H166*0</f>
        <v>0</v>
      </c>
      <c r="AP166" s="40">
        <f>H166*(1-0)</f>
        <v>0</v>
      </c>
      <c r="AQ166" s="41" t="s">
        <v>13</v>
      </c>
      <c r="AV166" s="40">
        <f>AW166+AX166</f>
        <v>0</v>
      </c>
      <c r="AW166" s="40">
        <f>G166*AO166</f>
        <v>0</v>
      </c>
      <c r="AX166" s="40">
        <f>G166*AP166</f>
        <v>0</v>
      </c>
      <c r="AY166" s="43" t="s">
        <v>536</v>
      </c>
      <c r="AZ166" s="43" t="s">
        <v>554</v>
      </c>
      <c r="BA166" s="39" t="s">
        <v>557</v>
      </c>
      <c r="BC166" s="40">
        <f>AW166+AX166</f>
        <v>0</v>
      </c>
      <c r="BD166" s="40">
        <f>H166/(100-BE166)*100</f>
        <v>0</v>
      </c>
      <c r="BE166" s="40">
        <v>0</v>
      </c>
      <c r="BF166" s="40">
        <f>166</f>
        <v>166</v>
      </c>
      <c r="BH166" s="21">
        <f>G166*AO166</f>
        <v>0</v>
      </c>
      <c r="BI166" s="21">
        <f>G166*AP166</f>
        <v>0</v>
      </c>
      <c r="BJ166" s="21">
        <f>G166*H166</f>
        <v>0</v>
      </c>
      <c r="BK166" s="21" t="s">
        <v>562</v>
      </c>
      <c r="BL166" s="40">
        <v>764</v>
      </c>
    </row>
    <row r="167" spans="1:64" x14ac:dyDescent="0.25">
      <c r="A167" s="5"/>
      <c r="C167" s="87" t="s">
        <v>351</v>
      </c>
      <c r="D167" s="88"/>
      <c r="E167" s="88"/>
      <c r="G167" s="22">
        <v>4</v>
      </c>
      <c r="L167" s="34"/>
      <c r="M167" s="5"/>
    </row>
    <row r="168" spans="1:64" x14ac:dyDescent="0.25">
      <c r="A168" s="4" t="s">
        <v>46</v>
      </c>
      <c r="B168" s="14" t="s">
        <v>147</v>
      </c>
      <c r="C168" s="85" t="s">
        <v>370</v>
      </c>
      <c r="D168" s="86"/>
      <c r="E168" s="86"/>
      <c r="F168" s="14" t="s">
        <v>496</v>
      </c>
      <c r="G168" s="21">
        <v>88</v>
      </c>
      <c r="H168" s="21">
        <v>0</v>
      </c>
      <c r="I168" s="21">
        <f>G168*AO168</f>
        <v>0</v>
      </c>
      <c r="J168" s="21">
        <f>G168*AP168</f>
        <v>0</v>
      </c>
      <c r="K168" s="21">
        <f>G168*H168</f>
        <v>0</v>
      </c>
      <c r="L168" s="33" t="s">
        <v>517</v>
      </c>
      <c r="M168" s="5"/>
      <c r="Z168" s="40">
        <f>IF(AQ168="5",BJ168,0)</f>
        <v>0</v>
      </c>
      <c r="AB168" s="40">
        <f>IF(AQ168="1",BH168,0)</f>
        <v>0</v>
      </c>
      <c r="AC168" s="40">
        <f>IF(AQ168="1",BI168,0)</f>
        <v>0</v>
      </c>
      <c r="AD168" s="40">
        <f>IF(AQ168="7",BH168,0)</f>
        <v>0</v>
      </c>
      <c r="AE168" s="40">
        <f>IF(AQ168="7",BI168,0)</f>
        <v>0</v>
      </c>
      <c r="AF168" s="40">
        <f>IF(AQ168="2",BH168,0)</f>
        <v>0</v>
      </c>
      <c r="AG168" s="40">
        <f>IF(AQ168="2",BI168,0)</f>
        <v>0</v>
      </c>
      <c r="AH168" s="40">
        <f>IF(AQ168="0",BJ168,0)</f>
        <v>0</v>
      </c>
      <c r="AI168" s="39"/>
      <c r="AJ168" s="21">
        <f>IF(AN168=0,K168,0)</f>
        <v>0</v>
      </c>
      <c r="AK168" s="21">
        <f>IF(AN168=15,K168,0)</f>
        <v>0</v>
      </c>
      <c r="AL168" s="21">
        <f>IF(AN168=21,K168,0)</f>
        <v>0</v>
      </c>
      <c r="AN168" s="40">
        <v>15</v>
      </c>
      <c r="AO168" s="40">
        <f>H168*0</f>
        <v>0</v>
      </c>
      <c r="AP168" s="40">
        <f>H168*(1-0)</f>
        <v>0</v>
      </c>
      <c r="AQ168" s="41" t="s">
        <v>13</v>
      </c>
      <c r="AV168" s="40">
        <f>AW168+AX168</f>
        <v>0</v>
      </c>
      <c r="AW168" s="40">
        <f>G168*AO168</f>
        <v>0</v>
      </c>
      <c r="AX168" s="40">
        <f>G168*AP168</f>
        <v>0</v>
      </c>
      <c r="AY168" s="43" t="s">
        <v>536</v>
      </c>
      <c r="AZ168" s="43" t="s">
        <v>554</v>
      </c>
      <c r="BA168" s="39" t="s">
        <v>557</v>
      </c>
      <c r="BC168" s="40">
        <f>AW168+AX168</f>
        <v>0</v>
      </c>
      <c r="BD168" s="40">
        <f>H168/(100-BE168)*100</f>
        <v>0</v>
      </c>
      <c r="BE168" s="40">
        <v>0</v>
      </c>
      <c r="BF168" s="40">
        <f>168</f>
        <v>168</v>
      </c>
      <c r="BH168" s="21">
        <f>G168*AO168</f>
        <v>0</v>
      </c>
      <c r="BI168" s="21">
        <f>G168*AP168</f>
        <v>0</v>
      </c>
      <c r="BJ168" s="21">
        <f>G168*H168</f>
        <v>0</v>
      </c>
      <c r="BK168" s="21" t="s">
        <v>562</v>
      </c>
      <c r="BL168" s="40">
        <v>764</v>
      </c>
    </row>
    <row r="169" spans="1:64" x14ac:dyDescent="0.25">
      <c r="A169" s="5"/>
      <c r="C169" s="87" t="s">
        <v>371</v>
      </c>
      <c r="D169" s="88"/>
      <c r="E169" s="88"/>
      <c r="G169" s="22">
        <v>88</v>
      </c>
      <c r="L169" s="34"/>
      <c r="M169" s="5"/>
    </row>
    <row r="170" spans="1:64" x14ac:dyDescent="0.25">
      <c r="A170" s="4" t="s">
        <v>47</v>
      </c>
      <c r="B170" s="14" t="s">
        <v>148</v>
      </c>
      <c r="C170" s="85" t="s">
        <v>372</v>
      </c>
      <c r="D170" s="86"/>
      <c r="E170" s="86"/>
      <c r="F170" s="14" t="s">
        <v>497</v>
      </c>
      <c r="G170" s="21">
        <v>90</v>
      </c>
      <c r="H170" s="21">
        <v>0</v>
      </c>
      <c r="I170" s="21">
        <f>G170*AO170</f>
        <v>0</v>
      </c>
      <c r="J170" s="21">
        <f>G170*AP170</f>
        <v>0</v>
      </c>
      <c r="K170" s="21">
        <f>G170*H170</f>
        <v>0</v>
      </c>
      <c r="L170" s="33" t="s">
        <v>517</v>
      </c>
      <c r="M170" s="5"/>
      <c r="Z170" s="40">
        <f>IF(AQ170="5",BJ170,0)</f>
        <v>0</v>
      </c>
      <c r="AB170" s="40">
        <f>IF(AQ170="1",BH170,0)</f>
        <v>0</v>
      </c>
      <c r="AC170" s="40">
        <f>IF(AQ170="1",BI170,0)</f>
        <v>0</v>
      </c>
      <c r="AD170" s="40">
        <f>IF(AQ170="7",BH170,0)</f>
        <v>0</v>
      </c>
      <c r="AE170" s="40">
        <f>IF(AQ170="7",BI170,0)</f>
        <v>0</v>
      </c>
      <c r="AF170" s="40">
        <f>IF(AQ170="2",BH170,0)</f>
        <v>0</v>
      </c>
      <c r="AG170" s="40">
        <f>IF(AQ170="2",BI170,0)</f>
        <v>0</v>
      </c>
      <c r="AH170" s="40">
        <f>IF(AQ170="0",BJ170,0)</f>
        <v>0</v>
      </c>
      <c r="AI170" s="39"/>
      <c r="AJ170" s="21">
        <f>IF(AN170=0,K170,0)</f>
        <v>0</v>
      </c>
      <c r="AK170" s="21">
        <f>IF(AN170=15,K170,0)</f>
        <v>0</v>
      </c>
      <c r="AL170" s="21">
        <f>IF(AN170=21,K170,0)</f>
        <v>0</v>
      </c>
      <c r="AN170" s="40">
        <v>15</v>
      </c>
      <c r="AO170" s="40">
        <f>H170*0</f>
        <v>0</v>
      </c>
      <c r="AP170" s="40">
        <f>H170*(1-0)</f>
        <v>0</v>
      </c>
      <c r="AQ170" s="41" t="s">
        <v>13</v>
      </c>
      <c r="AV170" s="40">
        <f>AW170+AX170</f>
        <v>0</v>
      </c>
      <c r="AW170" s="40">
        <f>G170*AO170</f>
        <v>0</v>
      </c>
      <c r="AX170" s="40">
        <f>G170*AP170</f>
        <v>0</v>
      </c>
      <c r="AY170" s="43" t="s">
        <v>536</v>
      </c>
      <c r="AZ170" s="43" t="s">
        <v>554</v>
      </c>
      <c r="BA170" s="39" t="s">
        <v>557</v>
      </c>
      <c r="BC170" s="40">
        <f>AW170+AX170</f>
        <v>0</v>
      </c>
      <c r="BD170" s="40">
        <f>H170/(100-BE170)*100</f>
        <v>0</v>
      </c>
      <c r="BE170" s="40">
        <v>0</v>
      </c>
      <c r="BF170" s="40">
        <f>170</f>
        <v>170</v>
      </c>
      <c r="BH170" s="21">
        <f>G170*AO170</f>
        <v>0</v>
      </c>
      <c r="BI170" s="21">
        <f>G170*AP170</f>
        <v>0</v>
      </c>
      <c r="BJ170" s="21">
        <f>G170*H170</f>
        <v>0</v>
      </c>
      <c r="BK170" s="21" t="s">
        <v>562</v>
      </c>
      <c r="BL170" s="40">
        <v>764</v>
      </c>
    </row>
    <row r="171" spans="1:64" x14ac:dyDescent="0.25">
      <c r="A171" s="5"/>
      <c r="C171" s="87" t="s">
        <v>373</v>
      </c>
      <c r="D171" s="88"/>
      <c r="E171" s="88"/>
      <c r="G171" s="22">
        <v>90</v>
      </c>
      <c r="L171" s="34"/>
      <c r="M171" s="5"/>
    </row>
    <row r="172" spans="1:64" x14ac:dyDescent="0.25">
      <c r="A172" s="4" t="s">
        <v>48</v>
      </c>
      <c r="B172" s="14" t="s">
        <v>149</v>
      </c>
      <c r="C172" s="85" t="s">
        <v>374</v>
      </c>
      <c r="D172" s="86"/>
      <c r="E172" s="86"/>
      <c r="F172" s="14" t="s">
        <v>496</v>
      </c>
      <c r="G172" s="21">
        <v>104.4</v>
      </c>
      <c r="H172" s="21">
        <v>0</v>
      </c>
      <c r="I172" s="21">
        <f>G172*AO172</f>
        <v>0</v>
      </c>
      <c r="J172" s="21">
        <f>G172*AP172</f>
        <v>0</v>
      </c>
      <c r="K172" s="21">
        <f>G172*H172</f>
        <v>0</v>
      </c>
      <c r="L172" s="33" t="s">
        <v>517</v>
      </c>
      <c r="M172" s="5"/>
      <c r="Z172" s="40">
        <f>IF(AQ172="5",BJ172,0)</f>
        <v>0</v>
      </c>
      <c r="AB172" s="40">
        <f>IF(AQ172="1",BH172,0)</f>
        <v>0</v>
      </c>
      <c r="AC172" s="40">
        <f>IF(AQ172="1",BI172,0)</f>
        <v>0</v>
      </c>
      <c r="AD172" s="40">
        <f>IF(AQ172="7",BH172,0)</f>
        <v>0</v>
      </c>
      <c r="AE172" s="40">
        <f>IF(AQ172="7",BI172,0)</f>
        <v>0</v>
      </c>
      <c r="AF172" s="40">
        <f>IF(AQ172="2",BH172,0)</f>
        <v>0</v>
      </c>
      <c r="AG172" s="40">
        <f>IF(AQ172="2",BI172,0)</f>
        <v>0</v>
      </c>
      <c r="AH172" s="40">
        <f>IF(AQ172="0",BJ172,0)</f>
        <v>0</v>
      </c>
      <c r="AI172" s="39"/>
      <c r="AJ172" s="21">
        <f>IF(AN172=0,K172,0)</f>
        <v>0</v>
      </c>
      <c r="AK172" s="21">
        <f>IF(AN172=15,K172,0)</f>
        <v>0</v>
      </c>
      <c r="AL172" s="21">
        <f>IF(AN172=21,K172,0)</f>
        <v>0</v>
      </c>
      <c r="AN172" s="40">
        <v>15</v>
      </c>
      <c r="AO172" s="40">
        <f>H172*0.198300929070103</f>
        <v>0</v>
      </c>
      <c r="AP172" s="40">
        <f>H172*(1-0.198300929070103)</f>
        <v>0</v>
      </c>
      <c r="AQ172" s="41" t="s">
        <v>13</v>
      </c>
      <c r="AV172" s="40">
        <f>AW172+AX172</f>
        <v>0</v>
      </c>
      <c r="AW172" s="40">
        <f>G172*AO172</f>
        <v>0</v>
      </c>
      <c r="AX172" s="40">
        <f>G172*AP172</f>
        <v>0</v>
      </c>
      <c r="AY172" s="43" t="s">
        <v>536</v>
      </c>
      <c r="AZ172" s="43" t="s">
        <v>554</v>
      </c>
      <c r="BA172" s="39" t="s">
        <v>557</v>
      </c>
      <c r="BC172" s="40">
        <f>AW172+AX172</f>
        <v>0</v>
      </c>
      <c r="BD172" s="40">
        <f>H172/(100-BE172)*100</f>
        <v>0</v>
      </c>
      <c r="BE172" s="40">
        <v>0</v>
      </c>
      <c r="BF172" s="40">
        <f>172</f>
        <v>172</v>
      </c>
      <c r="BH172" s="21">
        <f>G172*AO172</f>
        <v>0</v>
      </c>
      <c r="BI172" s="21">
        <f>G172*AP172</f>
        <v>0</v>
      </c>
      <c r="BJ172" s="21">
        <f>G172*H172</f>
        <v>0</v>
      </c>
      <c r="BK172" s="21" t="s">
        <v>562</v>
      </c>
      <c r="BL172" s="40">
        <v>764</v>
      </c>
    </row>
    <row r="173" spans="1:64" x14ac:dyDescent="0.25">
      <c r="A173" s="5"/>
      <c r="C173" s="87" t="s">
        <v>375</v>
      </c>
      <c r="D173" s="88"/>
      <c r="E173" s="88"/>
      <c r="G173" s="22">
        <v>50.4</v>
      </c>
      <c r="L173" s="34"/>
      <c r="M173" s="5"/>
    </row>
    <row r="174" spans="1:64" x14ac:dyDescent="0.25">
      <c r="A174" s="5"/>
      <c r="C174" s="87" t="s">
        <v>376</v>
      </c>
      <c r="D174" s="88"/>
      <c r="E174" s="88"/>
      <c r="G174" s="22">
        <v>54</v>
      </c>
      <c r="L174" s="34"/>
      <c r="M174" s="5"/>
    </row>
    <row r="175" spans="1:64" x14ac:dyDescent="0.25">
      <c r="A175" s="4" t="s">
        <v>49</v>
      </c>
      <c r="B175" s="14" t="s">
        <v>150</v>
      </c>
      <c r="C175" s="85" t="s">
        <v>377</v>
      </c>
      <c r="D175" s="86"/>
      <c r="E175" s="86"/>
      <c r="F175" s="14" t="s">
        <v>495</v>
      </c>
      <c r="G175" s="21">
        <v>3</v>
      </c>
      <c r="H175" s="21">
        <v>0</v>
      </c>
      <c r="I175" s="21">
        <f>G175*AO175</f>
        <v>0</v>
      </c>
      <c r="J175" s="21">
        <f>G175*AP175</f>
        <v>0</v>
      </c>
      <c r="K175" s="21">
        <f>G175*H175</f>
        <v>0</v>
      </c>
      <c r="L175" s="33" t="s">
        <v>517</v>
      </c>
      <c r="M175" s="5"/>
      <c r="Z175" s="40">
        <f>IF(AQ175="5",BJ175,0)</f>
        <v>0</v>
      </c>
      <c r="AB175" s="40">
        <f>IF(AQ175="1",BH175,0)</f>
        <v>0</v>
      </c>
      <c r="AC175" s="40">
        <f>IF(AQ175="1",BI175,0)</f>
        <v>0</v>
      </c>
      <c r="AD175" s="40">
        <f>IF(AQ175="7",BH175,0)</f>
        <v>0</v>
      </c>
      <c r="AE175" s="40">
        <f>IF(AQ175="7",BI175,0)</f>
        <v>0</v>
      </c>
      <c r="AF175" s="40">
        <f>IF(AQ175="2",BH175,0)</f>
        <v>0</v>
      </c>
      <c r="AG175" s="40">
        <f>IF(AQ175="2",BI175,0)</f>
        <v>0</v>
      </c>
      <c r="AH175" s="40">
        <f>IF(AQ175="0",BJ175,0)</f>
        <v>0</v>
      </c>
      <c r="AI175" s="39"/>
      <c r="AJ175" s="21">
        <f>IF(AN175=0,K175,0)</f>
        <v>0</v>
      </c>
      <c r="AK175" s="21">
        <f>IF(AN175=15,K175,0)</f>
        <v>0</v>
      </c>
      <c r="AL175" s="21">
        <f>IF(AN175=21,K175,0)</f>
        <v>0</v>
      </c>
      <c r="AN175" s="40">
        <v>15</v>
      </c>
      <c r="AO175" s="40">
        <f>H175*0.512781998831093</f>
        <v>0</v>
      </c>
      <c r="AP175" s="40">
        <f>H175*(1-0.512781998831093)</f>
        <v>0</v>
      </c>
      <c r="AQ175" s="41" t="s">
        <v>13</v>
      </c>
      <c r="AV175" s="40">
        <f>AW175+AX175</f>
        <v>0</v>
      </c>
      <c r="AW175" s="40">
        <f>G175*AO175</f>
        <v>0</v>
      </c>
      <c r="AX175" s="40">
        <f>G175*AP175</f>
        <v>0</v>
      </c>
      <c r="AY175" s="43" t="s">
        <v>536</v>
      </c>
      <c r="AZ175" s="43" t="s">
        <v>554</v>
      </c>
      <c r="BA175" s="39" t="s">
        <v>557</v>
      </c>
      <c r="BC175" s="40">
        <f>AW175+AX175</f>
        <v>0</v>
      </c>
      <c r="BD175" s="40">
        <f>H175/(100-BE175)*100</f>
        <v>0</v>
      </c>
      <c r="BE175" s="40">
        <v>0</v>
      </c>
      <c r="BF175" s="40">
        <f>175</f>
        <v>175</v>
      </c>
      <c r="BH175" s="21">
        <f>G175*AO175</f>
        <v>0</v>
      </c>
      <c r="BI175" s="21">
        <f>G175*AP175</f>
        <v>0</v>
      </c>
      <c r="BJ175" s="21">
        <f>G175*H175</f>
        <v>0</v>
      </c>
      <c r="BK175" s="21" t="s">
        <v>562</v>
      </c>
      <c r="BL175" s="40">
        <v>764</v>
      </c>
    </row>
    <row r="176" spans="1:64" x14ac:dyDescent="0.25">
      <c r="A176" s="5"/>
      <c r="C176" s="87" t="s">
        <v>378</v>
      </c>
      <c r="D176" s="88"/>
      <c r="E176" s="88"/>
      <c r="G176" s="22">
        <v>2.34</v>
      </c>
      <c r="L176" s="34"/>
      <c r="M176" s="5"/>
    </row>
    <row r="177" spans="1:64" x14ac:dyDescent="0.25">
      <c r="A177" s="5"/>
      <c r="C177" s="87" t="s">
        <v>379</v>
      </c>
      <c r="D177" s="88"/>
      <c r="E177" s="88"/>
      <c r="G177" s="22">
        <v>0.66</v>
      </c>
      <c r="L177" s="34"/>
      <c r="M177" s="5"/>
    </row>
    <row r="178" spans="1:64" x14ac:dyDescent="0.25">
      <c r="A178" s="4" t="s">
        <v>50</v>
      </c>
      <c r="B178" s="14" t="s">
        <v>151</v>
      </c>
      <c r="C178" s="85" t="s">
        <v>380</v>
      </c>
      <c r="D178" s="86"/>
      <c r="E178" s="86"/>
      <c r="F178" s="14" t="s">
        <v>496</v>
      </c>
      <c r="G178" s="21">
        <v>47</v>
      </c>
      <c r="H178" s="21">
        <v>0</v>
      </c>
      <c r="I178" s="21">
        <f>G178*AO178</f>
        <v>0</v>
      </c>
      <c r="J178" s="21">
        <f>G178*AP178</f>
        <v>0</v>
      </c>
      <c r="K178" s="21">
        <f>G178*H178</f>
        <v>0</v>
      </c>
      <c r="L178" s="33" t="s">
        <v>517</v>
      </c>
      <c r="M178" s="5"/>
      <c r="Z178" s="40">
        <f>IF(AQ178="5",BJ178,0)</f>
        <v>0</v>
      </c>
      <c r="AB178" s="40">
        <f>IF(AQ178="1",BH178,0)</f>
        <v>0</v>
      </c>
      <c r="AC178" s="40">
        <f>IF(AQ178="1",BI178,0)</f>
        <v>0</v>
      </c>
      <c r="AD178" s="40">
        <f>IF(AQ178="7",BH178,0)</f>
        <v>0</v>
      </c>
      <c r="AE178" s="40">
        <f>IF(AQ178="7",BI178,0)</f>
        <v>0</v>
      </c>
      <c r="AF178" s="40">
        <f>IF(AQ178="2",BH178,0)</f>
        <v>0</v>
      </c>
      <c r="AG178" s="40">
        <f>IF(AQ178="2",BI178,0)</f>
        <v>0</v>
      </c>
      <c r="AH178" s="40">
        <f>IF(AQ178="0",BJ178,0)</f>
        <v>0</v>
      </c>
      <c r="AI178" s="39"/>
      <c r="AJ178" s="21">
        <f>IF(AN178=0,K178,0)</f>
        <v>0</v>
      </c>
      <c r="AK178" s="21">
        <f>IF(AN178=15,K178,0)</f>
        <v>0</v>
      </c>
      <c r="AL178" s="21">
        <f>IF(AN178=21,K178,0)</f>
        <v>0</v>
      </c>
      <c r="AN178" s="40">
        <v>15</v>
      </c>
      <c r="AO178" s="40">
        <f>H178*0.638302229381971</f>
        <v>0</v>
      </c>
      <c r="AP178" s="40">
        <f>H178*(1-0.638302229381971)</f>
        <v>0</v>
      </c>
      <c r="AQ178" s="41" t="s">
        <v>13</v>
      </c>
      <c r="AV178" s="40">
        <f>AW178+AX178</f>
        <v>0</v>
      </c>
      <c r="AW178" s="40">
        <f>G178*AO178</f>
        <v>0</v>
      </c>
      <c r="AX178" s="40">
        <f>G178*AP178</f>
        <v>0</v>
      </c>
      <c r="AY178" s="43" t="s">
        <v>536</v>
      </c>
      <c r="AZ178" s="43" t="s">
        <v>554</v>
      </c>
      <c r="BA178" s="39" t="s">
        <v>557</v>
      </c>
      <c r="BC178" s="40">
        <f>AW178+AX178</f>
        <v>0</v>
      </c>
      <c r="BD178" s="40">
        <f>H178/(100-BE178)*100</f>
        <v>0</v>
      </c>
      <c r="BE178" s="40">
        <v>0</v>
      </c>
      <c r="BF178" s="40">
        <f>178</f>
        <v>178</v>
      </c>
      <c r="BH178" s="21">
        <f>G178*AO178</f>
        <v>0</v>
      </c>
      <c r="BI178" s="21">
        <f>G178*AP178</f>
        <v>0</v>
      </c>
      <c r="BJ178" s="21">
        <f>G178*H178</f>
        <v>0</v>
      </c>
      <c r="BK178" s="21" t="s">
        <v>562</v>
      </c>
      <c r="BL178" s="40">
        <v>764</v>
      </c>
    </row>
    <row r="179" spans="1:64" x14ac:dyDescent="0.25">
      <c r="A179" s="5"/>
      <c r="C179" s="87" t="s">
        <v>381</v>
      </c>
      <c r="D179" s="88"/>
      <c r="E179" s="88"/>
      <c r="G179" s="22">
        <v>44</v>
      </c>
      <c r="L179" s="34"/>
      <c r="M179" s="5"/>
    </row>
    <row r="180" spans="1:64" x14ac:dyDescent="0.25">
      <c r="A180" s="5"/>
      <c r="C180" s="87" t="s">
        <v>382</v>
      </c>
      <c r="D180" s="88"/>
      <c r="E180" s="88"/>
      <c r="G180" s="22">
        <v>2.2000000000000002</v>
      </c>
      <c r="L180" s="34"/>
      <c r="M180" s="5"/>
    </row>
    <row r="181" spans="1:64" x14ac:dyDescent="0.25">
      <c r="A181" s="5"/>
      <c r="C181" s="87" t="s">
        <v>383</v>
      </c>
      <c r="D181" s="88"/>
      <c r="E181" s="88"/>
      <c r="G181" s="22">
        <v>0.8</v>
      </c>
      <c r="L181" s="34"/>
      <c r="M181" s="5"/>
    </row>
    <row r="182" spans="1:64" x14ac:dyDescent="0.25">
      <c r="A182" s="4" t="s">
        <v>51</v>
      </c>
      <c r="B182" s="14" t="s">
        <v>152</v>
      </c>
      <c r="C182" s="85" t="s">
        <v>384</v>
      </c>
      <c r="D182" s="86"/>
      <c r="E182" s="86"/>
      <c r="F182" s="14" t="s">
        <v>496</v>
      </c>
      <c r="G182" s="21">
        <v>40</v>
      </c>
      <c r="H182" s="21">
        <v>0</v>
      </c>
      <c r="I182" s="21">
        <f>G182*AO182</f>
        <v>0</v>
      </c>
      <c r="J182" s="21">
        <f>G182*AP182</f>
        <v>0</v>
      </c>
      <c r="K182" s="21">
        <f>G182*H182</f>
        <v>0</v>
      </c>
      <c r="L182" s="33" t="s">
        <v>517</v>
      </c>
      <c r="M182" s="5"/>
      <c r="Z182" s="40">
        <f>IF(AQ182="5",BJ182,0)</f>
        <v>0</v>
      </c>
      <c r="AB182" s="40">
        <f>IF(AQ182="1",BH182,0)</f>
        <v>0</v>
      </c>
      <c r="AC182" s="40">
        <f>IF(AQ182="1",BI182,0)</f>
        <v>0</v>
      </c>
      <c r="AD182" s="40">
        <f>IF(AQ182="7",BH182,0)</f>
        <v>0</v>
      </c>
      <c r="AE182" s="40">
        <f>IF(AQ182="7",BI182,0)</f>
        <v>0</v>
      </c>
      <c r="AF182" s="40">
        <f>IF(AQ182="2",BH182,0)</f>
        <v>0</v>
      </c>
      <c r="AG182" s="40">
        <f>IF(AQ182="2",BI182,0)</f>
        <v>0</v>
      </c>
      <c r="AH182" s="40">
        <f>IF(AQ182="0",BJ182,0)</f>
        <v>0</v>
      </c>
      <c r="AI182" s="39"/>
      <c r="AJ182" s="21">
        <f>IF(AN182=0,K182,0)</f>
        <v>0</v>
      </c>
      <c r="AK182" s="21">
        <f>IF(AN182=15,K182,0)</f>
        <v>0</v>
      </c>
      <c r="AL182" s="21">
        <f>IF(AN182=21,K182,0)</f>
        <v>0</v>
      </c>
      <c r="AN182" s="40">
        <v>15</v>
      </c>
      <c r="AO182" s="40">
        <f>H182*0.0531364039846139</f>
        <v>0</v>
      </c>
      <c r="AP182" s="40">
        <f>H182*(1-0.0531364039846139)</f>
        <v>0</v>
      </c>
      <c r="AQ182" s="41" t="s">
        <v>13</v>
      </c>
      <c r="AV182" s="40">
        <f>AW182+AX182</f>
        <v>0</v>
      </c>
      <c r="AW182" s="40">
        <f>G182*AO182</f>
        <v>0</v>
      </c>
      <c r="AX182" s="40">
        <f>G182*AP182</f>
        <v>0</v>
      </c>
      <c r="AY182" s="43" t="s">
        <v>536</v>
      </c>
      <c r="AZ182" s="43" t="s">
        <v>554</v>
      </c>
      <c r="BA182" s="39" t="s">
        <v>557</v>
      </c>
      <c r="BC182" s="40">
        <f>AW182+AX182</f>
        <v>0</v>
      </c>
      <c r="BD182" s="40">
        <f>H182/(100-BE182)*100</f>
        <v>0</v>
      </c>
      <c r="BE182" s="40">
        <v>0</v>
      </c>
      <c r="BF182" s="40">
        <f>182</f>
        <v>182</v>
      </c>
      <c r="BH182" s="21">
        <f>G182*AO182</f>
        <v>0</v>
      </c>
      <c r="BI182" s="21">
        <f>G182*AP182</f>
        <v>0</v>
      </c>
      <c r="BJ182" s="21">
        <f>G182*H182</f>
        <v>0</v>
      </c>
      <c r="BK182" s="21" t="s">
        <v>562</v>
      </c>
      <c r="BL182" s="40">
        <v>764</v>
      </c>
    </row>
    <row r="183" spans="1:64" x14ac:dyDescent="0.25">
      <c r="A183" s="5"/>
      <c r="C183" s="87" t="s">
        <v>385</v>
      </c>
      <c r="D183" s="88"/>
      <c r="E183" s="88"/>
      <c r="G183" s="22">
        <v>40</v>
      </c>
      <c r="L183" s="34"/>
      <c r="M183" s="5"/>
    </row>
    <row r="184" spans="1:64" x14ac:dyDescent="0.25">
      <c r="A184" s="7" t="s">
        <v>52</v>
      </c>
      <c r="B184" s="16" t="s">
        <v>153</v>
      </c>
      <c r="C184" s="100" t="s">
        <v>386</v>
      </c>
      <c r="D184" s="101"/>
      <c r="E184" s="101"/>
      <c r="F184" s="16" t="s">
        <v>497</v>
      </c>
      <c r="G184" s="23">
        <v>40</v>
      </c>
      <c r="H184" s="23">
        <v>0</v>
      </c>
      <c r="I184" s="23">
        <f>G184*AO184</f>
        <v>0</v>
      </c>
      <c r="J184" s="23">
        <f>G184*AP184</f>
        <v>0</v>
      </c>
      <c r="K184" s="23">
        <f>G184*H184</f>
        <v>0</v>
      </c>
      <c r="L184" s="36" t="s">
        <v>517</v>
      </c>
      <c r="M184" s="5"/>
      <c r="Z184" s="40">
        <f>IF(AQ184="5",BJ184,0)</f>
        <v>0</v>
      </c>
      <c r="AB184" s="40">
        <f>IF(AQ184="1",BH184,0)</f>
        <v>0</v>
      </c>
      <c r="AC184" s="40">
        <f>IF(AQ184="1",BI184,0)</f>
        <v>0</v>
      </c>
      <c r="AD184" s="40">
        <f>IF(AQ184="7",BH184,0)</f>
        <v>0</v>
      </c>
      <c r="AE184" s="40">
        <f>IF(AQ184="7",BI184,0)</f>
        <v>0</v>
      </c>
      <c r="AF184" s="40">
        <f>IF(AQ184="2",BH184,0)</f>
        <v>0</v>
      </c>
      <c r="AG184" s="40">
        <f>IF(AQ184="2",BI184,0)</f>
        <v>0</v>
      </c>
      <c r="AH184" s="40">
        <f>IF(AQ184="0",BJ184,0)</f>
        <v>0</v>
      </c>
      <c r="AI184" s="39"/>
      <c r="AJ184" s="23">
        <f>IF(AN184=0,K184,0)</f>
        <v>0</v>
      </c>
      <c r="AK184" s="23">
        <f>IF(AN184=15,K184,0)</f>
        <v>0</v>
      </c>
      <c r="AL184" s="23">
        <f>IF(AN184=21,K184,0)</f>
        <v>0</v>
      </c>
      <c r="AN184" s="40">
        <v>15</v>
      </c>
      <c r="AO184" s="40">
        <f>H184*1</f>
        <v>0</v>
      </c>
      <c r="AP184" s="40">
        <f>H184*(1-1)</f>
        <v>0</v>
      </c>
      <c r="AQ184" s="42" t="s">
        <v>13</v>
      </c>
      <c r="AV184" s="40">
        <f>AW184+AX184</f>
        <v>0</v>
      </c>
      <c r="AW184" s="40">
        <f>G184*AO184</f>
        <v>0</v>
      </c>
      <c r="AX184" s="40">
        <f>G184*AP184</f>
        <v>0</v>
      </c>
      <c r="AY184" s="43" t="s">
        <v>536</v>
      </c>
      <c r="AZ184" s="43" t="s">
        <v>554</v>
      </c>
      <c r="BA184" s="39" t="s">
        <v>557</v>
      </c>
      <c r="BC184" s="40">
        <f>AW184+AX184</f>
        <v>0</v>
      </c>
      <c r="BD184" s="40">
        <f>H184/(100-BE184)*100</f>
        <v>0</v>
      </c>
      <c r="BE184" s="40">
        <v>0</v>
      </c>
      <c r="BF184" s="40">
        <f>184</f>
        <v>184</v>
      </c>
      <c r="BH184" s="23">
        <f>G184*AO184</f>
        <v>0</v>
      </c>
      <c r="BI184" s="23">
        <f>G184*AP184</f>
        <v>0</v>
      </c>
      <c r="BJ184" s="23">
        <f>G184*H184</f>
        <v>0</v>
      </c>
      <c r="BK184" s="23" t="s">
        <v>563</v>
      </c>
      <c r="BL184" s="40">
        <v>764</v>
      </c>
    </row>
    <row r="185" spans="1:64" x14ac:dyDescent="0.25">
      <c r="A185" s="5"/>
      <c r="C185" s="87" t="s">
        <v>387</v>
      </c>
      <c r="D185" s="88"/>
      <c r="E185" s="88"/>
      <c r="G185" s="22">
        <v>40</v>
      </c>
      <c r="L185" s="34"/>
      <c r="M185" s="5"/>
    </row>
    <row r="186" spans="1:64" x14ac:dyDescent="0.25">
      <c r="A186" s="4" t="s">
        <v>53</v>
      </c>
      <c r="B186" s="14" t="s">
        <v>154</v>
      </c>
      <c r="C186" s="85" t="s">
        <v>388</v>
      </c>
      <c r="D186" s="86"/>
      <c r="E186" s="86"/>
      <c r="F186" s="14" t="s">
        <v>496</v>
      </c>
      <c r="G186" s="21">
        <v>93</v>
      </c>
      <c r="H186" s="21">
        <v>0</v>
      </c>
      <c r="I186" s="21">
        <f>G186*AO186</f>
        <v>0</v>
      </c>
      <c r="J186" s="21">
        <f>G186*AP186</f>
        <v>0</v>
      </c>
      <c r="K186" s="21">
        <f>G186*H186</f>
        <v>0</v>
      </c>
      <c r="L186" s="33" t="s">
        <v>517</v>
      </c>
      <c r="M186" s="5"/>
      <c r="Z186" s="40">
        <f>IF(AQ186="5",BJ186,0)</f>
        <v>0</v>
      </c>
      <c r="AB186" s="40">
        <f>IF(AQ186="1",BH186,0)</f>
        <v>0</v>
      </c>
      <c r="AC186" s="40">
        <f>IF(AQ186="1",BI186,0)</f>
        <v>0</v>
      </c>
      <c r="AD186" s="40">
        <f>IF(AQ186="7",BH186,0)</f>
        <v>0</v>
      </c>
      <c r="AE186" s="40">
        <f>IF(AQ186="7",BI186,0)</f>
        <v>0</v>
      </c>
      <c r="AF186" s="40">
        <f>IF(AQ186="2",BH186,0)</f>
        <v>0</v>
      </c>
      <c r="AG186" s="40">
        <f>IF(AQ186="2",BI186,0)</f>
        <v>0</v>
      </c>
      <c r="AH186" s="40">
        <f>IF(AQ186="0",BJ186,0)</f>
        <v>0</v>
      </c>
      <c r="AI186" s="39"/>
      <c r="AJ186" s="21">
        <f>IF(AN186=0,K186,0)</f>
        <v>0</v>
      </c>
      <c r="AK186" s="21">
        <f>IF(AN186=15,K186,0)</f>
        <v>0</v>
      </c>
      <c r="AL186" s="21">
        <f>IF(AN186=21,K186,0)</f>
        <v>0</v>
      </c>
      <c r="AN186" s="40">
        <v>15</v>
      </c>
      <c r="AO186" s="40">
        <f>H186*0.510411764705882</f>
        <v>0</v>
      </c>
      <c r="AP186" s="40">
        <f>H186*(1-0.510411764705882)</f>
        <v>0</v>
      </c>
      <c r="AQ186" s="41" t="s">
        <v>13</v>
      </c>
      <c r="AV186" s="40">
        <f>AW186+AX186</f>
        <v>0</v>
      </c>
      <c r="AW186" s="40">
        <f>G186*AO186</f>
        <v>0</v>
      </c>
      <c r="AX186" s="40">
        <f>G186*AP186</f>
        <v>0</v>
      </c>
      <c r="AY186" s="43" t="s">
        <v>536</v>
      </c>
      <c r="AZ186" s="43" t="s">
        <v>554</v>
      </c>
      <c r="BA186" s="39" t="s">
        <v>557</v>
      </c>
      <c r="BC186" s="40">
        <f>AW186+AX186</f>
        <v>0</v>
      </c>
      <c r="BD186" s="40">
        <f>H186/(100-BE186)*100</f>
        <v>0</v>
      </c>
      <c r="BE186" s="40">
        <v>0</v>
      </c>
      <c r="BF186" s="40">
        <f>186</f>
        <v>186</v>
      </c>
      <c r="BH186" s="21">
        <f>G186*AO186</f>
        <v>0</v>
      </c>
      <c r="BI186" s="21">
        <f>G186*AP186</f>
        <v>0</v>
      </c>
      <c r="BJ186" s="21">
        <f>G186*H186</f>
        <v>0</v>
      </c>
      <c r="BK186" s="21" t="s">
        <v>562</v>
      </c>
      <c r="BL186" s="40">
        <v>764</v>
      </c>
    </row>
    <row r="187" spans="1:64" x14ac:dyDescent="0.25">
      <c r="A187" s="5"/>
      <c r="C187" s="87" t="s">
        <v>389</v>
      </c>
      <c r="D187" s="88"/>
      <c r="E187" s="88"/>
      <c r="G187" s="22">
        <v>88</v>
      </c>
      <c r="L187" s="34"/>
      <c r="M187" s="5"/>
    </row>
    <row r="188" spans="1:64" x14ac:dyDescent="0.25">
      <c r="A188" s="5"/>
      <c r="C188" s="87" t="s">
        <v>390</v>
      </c>
      <c r="D188" s="88"/>
      <c r="E188" s="88"/>
      <c r="G188" s="22">
        <v>4.4000000000000004</v>
      </c>
      <c r="L188" s="34"/>
      <c r="M188" s="5"/>
    </row>
    <row r="189" spans="1:64" x14ac:dyDescent="0.25">
      <c r="A189" s="5"/>
      <c r="C189" s="87" t="s">
        <v>391</v>
      </c>
      <c r="D189" s="88"/>
      <c r="E189" s="88"/>
      <c r="G189" s="22">
        <v>0.6</v>
      </c>
      <c r="L189" s="34"/>
      <c r="M189" s="5"/>
    </row>
    <row r="190" spans="1:64" x14ac:dyDescent="0.25">
      <c r="A190" s="4" t="s">
        <v>54</v>
      </c>
      <c r="B190" s="14" t="s">
        <v>155</v>
      </c>
      <c r="C190" s="85" t="s">
        <v>392</v>
      </c>
      <c r="D190" s="86"/>
      <c r="E190" s="86"/>
      <c r="F190" s="14" t="s">
        <v>497</v>
      </c>
      <c r="G190" s="21">
        <v>90</v>
      </c>
      <c r="H190" s="21">
        <v>0</v>
      </c>
      <c r="I190" s="21">
        <f>G190*AO190</f>
        <v>0</v>
      </c>
      <c r="J190" s="21">
        <f>G190*AP190</f>
        <v>0</v>
      </c>
      <c r="K190" s="21">
        <f>G190*H190</f>
        <v>0</v>
      </c>
      <c r="L190" s="33" t="s">
        <v>517</v>
      </c>
      <c r="M190" s="5"/>
      <c r="Z190" s="40">
        <f>IF(AQ190="5",BJ190,0)</f>
        <v>0</v>
      </c>
      <c r="AB190" s="40">
        <f>IF(AQ190="1",BH190,0)</f>
        <v>0</v>
      </c>
      <c r="AC190" s="40">
        <f>IF(AQ190="1",BI190,0)</f>
        <v>0</v>
      </c>
      <c r="AD190" s="40">
        <f>IF(AQ190="7",BH190,0)</f>
        <v>0</v>
      </c>
      <c r="AE190" s="40">
        <f>IF(AQ190="7",BI190,0)</f>
        <v>0</v>
      </c>
      <c r="AF190" s="40">
        <f>IF(AQ190="2",BH190,0)</f>
        <v>0</v>
      </c>
      <c r="AG190" s="40">
        <f>IF(AQ190="2",BI190,0)</f>
        <v>0</v>
      </c>
      <c r="AH190" s="40">
        <f>IF(AQ190="0",BJ190,0)</f>
        <v>0</v>
      </c>
      <c r="AI190" s="39"/>
      <c r="AJ190" s="21">
        <f>IF(AN190=0,K190,0)</f>
        <v>0</v>
      </c>
      <c r="AK190" s="21">
        <f>IF(AN190=15,K190,0)</f>
        <v>0</v>
      </c>
      <c r="AL190" s="21">
        <f>IF(AN190=21,K190,0)</f>
        <v>0</v>
      </c>
      <c r="AN190" s="40">
        <v>15</v>
      </c>
      <c r="AO190" s="40">
        <f>H190*0.0811670199709919</f>
        <v>0</v>
      </c>
      <c r="AP190" s="40">
        <f>H190*(1-0.0811670199709919)</f>
        <v>0</v>
      </c>
      <c r="AQ190" s="41" t="s">
        <v>13</v>
      </c>
      <c r="AV190" s="40">
        <f>AW190+AX190</f>
        <v>0</v>
      </c>
      <c r="AW190" s="40">
        <f>G190*AO190</f>
        <v>0</v>
      </c>
      <c r="AX190" s="40">
        <f>G190*AP190</f>
        <v>0</v>
      </c>
      <c r="AY190" s="43" t="s">
        <v>536</v>
      </c>
      <c r="AZ190" s="43" t="s">
        <v>554</v>
      </c>
      <c r="BA190" s="39" t="s">
        <v>557</v>
      </c>
      <c r="BC190" s="40">
        <f>AW190+AX190</f>
        <v>0</v>
      </c>
      <c r="BD190" s="40">
        <f>H190/(100-BE190)*100</f>
        <v>0</v>
      </c>
      <c r="BE190" s="40">
        <v>0</v>
      </c>
      <c r="BF190" s="40">
        <f>190</f>
        <v>190</v>
      </c>
      <c r="BH190" s="21">
        <f>G190*AO190</f>
        <v>0</v>
      </c>
      <c r="BI190" s="21">
        <f>G190*AP190</f>
        <v>0</v>
      </c>
      <c r="BJ190" s="21">
        <f>G190*H190</f>
        <v>0</v>
      </c>
      <c r="BK190" s="21" t="s">
        <v>562</v>
      </c>
      <c r="BL190" s="40">
        <v>764</v>
      </c>
    </row>
    <row r="191" spans="1:64" x14ac:dyDescent="0.25">
      <c r="A191" s="5"/>
      <c r="C191" s="87" t="s">
        <v>393</v>
      </c>
      <c r="D191" s="88"/>
      <c r="E191" s="88"/>
      <c r="G191" s="22">
        <v>90</v>
      </c>
      <c r="L191" s="34"/>
      <c r="M191" s="5"/>
    </row>
    <row r="192" spans="1:64" x14ac:dyDescent="0.25">
      <c r="A192" s="7" t="s">
        <v>55</v>
      </c>
      <c r="B192" s="16" t="s">
        <v>156</v>
      </c>
      <c r="C192" s="100" t="s">
        <v>394</v>
      </c>
      <c r="D192" s="101"/>
      <c r="E192" s="101"/>
      <c r="F192" s="16" t="s">
        <v>497</v>
      </c>
      <c r="G192" s="23">
        <v>90</v>
      </c>
      <c r="H192" s="23">
        <v>0</v>
      </c>
      <c r="I192" s="23">
        <f>G192*AO192</f>
        <v>0</v>
      </c>
      <c r="J192" s="23">
        <f>G192*AP192</f>
        <v>0</v>
      </c>
      <c r="K192" s="23">
        <f>G192*H192</f>
        <v>0</v>
      </c>
      <c r="L192" s="36" t="s">
        <v>517</v>
      </c>
      <c r="M192" s="5"/>
      <c r="Z192" s="40">
        <f>IF(AQ192="5",BJ192,0)</f>
        <v>0</v>
      </c>
      <c r="AB192" s="40">
        <f>IF(AQ192="1",BH192,0)</f>
        <v>0</v>
      </c>
      <c r="AC192" s="40">
        <f>IF(AQ192="1",BI192,0)</f>
        <v>0</v>
      </c>
      <c r="AD192" s="40">
        <f>IF(AQ192="7",BH192,0)</f>
        <v>0</v>
      </c>
      <c r="AE192" s="40">
        <f>IF(AQ192="7",BI192,0)</f>
        <v>0</v>
      </c>
      <c r="AF192" s="40">
        <f>IF(AQ192="2",BH192,0)</f>
        <v>0</v>
      </c>
      <c r="AG192" s="40">
        <f>IF(AQ192="2",BI192,0)</f>
        <v>0</v>
      </c>
      <c r="AH192" s="40">
        <f>IF(AQ192="0",BJ192,0)</f>
        <v>0</v>
      </c>
      <c r="AI192" s="39"/>
      <c r="AJ192" s="23">
        <f>IF(AN192=0,K192,0)</f>
        <v>0</v>
      </c>
      <c r="AK192" s="23">
        <f>IF(AN192=15,K192,0)</f>
        <v>0</v>
      </c>
      <c r="AL192" s="23">
        <f>IF(AN192=21,K192,0)</f>
        <v>0</v>
      </c>
      <c r="AN192" s="40">
        <v>15</v>
      </c>
      <c r="AO192" s="40">
        <f>H192*1</f>
        <v>0</v>
      </c>
      <c r="AP192" s="40">
        <f>H192*(1-1)</f>
        <v>0</v>
      </c>
      <c r="AQ192" s="42" t="s">
        <v>13</v>
      </c>
      <c r="AV192" s="40">
        <f>AW192+AX192</f>
        <v>0</v>
      </c>
      <c r="AW192" s="40">
        <f>G192*AO192</f>
        <v>0</v>
      </c>
      <c r="AX192" s="40">
        <f>G192*AP192</f>
        <v>0</v>
      </c>
      <c r="AY192" s="43" t="s">
        <v>536</v>
      </c>
      <c r="AZ192" s="43" t="s">
        <v>554</v>
      </c>
      <c r="BA192" s="39" t="s">
        <v>557</v>
      </c>
      <c r="BC192" s="40">
        <f>AW192+AX192</f>
        <v>0</v>
      </c>
      <c r="BD192" s="40">
        <f>H192/(100-BE192)*100</f>
        <v>0</v>
      </c>
      <c r="BE192" s="40">
        <v>0</v>
      </c>
      <c r="BF192" s="40">
        <f>192</f>
        <v>192</v>
      </c>
      <c r="BH192" s="23">
        <f>G192*AO192</f>
        <v>0</v>
      </c>
      <c r="BI192" s="23">
        <f>G192*AP192</f>
        <v>0</v>
      </c>
      <c r="BJ192" s="23">
        <f>G192*H192</f>
        <v>0</v>
      </c>
      <c r="BK192" s="23" t="s">
        <v>563</v>
      </c>
      <c r="BL192" s="40">
        <v>764</v>
      </c>
    </row>
    <row r="193" spans="1:64" x14ac:dyDescent="0.25">
      <c r="A193" s="5"/>
      <c r="C193" s="87" t="s">
        <v>395</v>
      </c>
      <c r="D193" s="88"/>
      <c r="E193" s="88"/>
      <c r="G193" s="22">
        <v>90</v>
      </c>
      <c r="L193" s="34"/>
      <c r="M193" s="5"/>
    </row>
    <row r="194" spans="1:64" x14ac:dyDescent="0.25">
      <c r="A194" s="4" t="s">
        <v>56</v>
      </c>
      <c r="B194" s="14" t="s">
        <v>157</v>
      </c>
      <c r="C194" s="85" t="s">
        <v>396</v>
      </c>
      <c r="D194" s="86"/>
      <c r="E194" s="86"/>
      <c r="F194" s="14" t="s">
        <v>497</v>
      </c>
      <c r="G194" s="21">
        <v>4</v>
      </c>
      <c r="H194" s="21">
        <v>0</v>
      </c>
      <c r="I194" s="21">
        <f>G194*AO194</f>
        <v>0</v>
      </c>
      <c r="J194" s="21">
        <f>G194*AP194</f>
        <v>0</v>
      </c>
      <c r="K194" s="21">
        <f>G194*H194</f>
        <v>0</v>
      </c>
      <c r="L194" s="33" t="s">
        <v>517</v>
      </c>
      <c r="M194" s="5"/>
      <c r="Z194" s="40">
        <f>IF(AQ194="5",BJ194,0)</f>
        <v>0</v>
      </c>
      <c r="AB194" s="40">
        <f>IF(AQ194="1",BH194,0)</f>
        <v>0</v>
      </c>
      <c r="AC194" s="40">
        <f>IF(AQ194="1",BI194,0)</f>
        <v>0</v>
      </c>
      <c r="AD194" s="40">
        <f>IF(AQ194="7",BH194,0)</f>
        <v>0</v>
      </c>
      <c r="AE194" s="40">
        <f>IF(AQ194="7",BI194,0)</f>
        <v>0</v>
      </c>
      <c r="AF194" s="40">
        <f>IF(AQ194="2",BH194,0)</f>
        <v>0</v>
      </c>
      <c r="AG194" s="40">
        <f>IF(AQ194="2",BI194,0)</f>
        <v>0</v>
      </c>
      <c r="AH194" s="40">
        <f>IF(AQ194="0",BJ194,0)</f>
        <v>0</v>
      </c>
      <c r="AI194" s="39"/>
      <c r="AJ194" s="21">
        <f>IF(AN194=0,K194,0)</f>
        <v>0</v>
      </c>
      <c r="AK194" s="21">
        <f>IF(AN194=15,K194,0)</f>
        <v>0</v>
      </c>
      <c r="AL194" s="21">
        <f>IF(AN194=21,K194,0)</f>
        <v>0</v>
      </c>
      <c r="AN194" s="40">
        <v>15</v>
      </c>
      <c r="AO194" s="40">
        <f>H194*0.113698435277383</f>
        <v>0</v>
      </c>
      <c r="AP194" s="40">
        <f>H194*(1-0.113698435277383)</f>
        <v>0</v>
      </c>
      <c r="AQ194" s="41" t="s">
        <v>13</v>
      </c>
      <c r="AV194" s="40">
        <f>AW194+AX194</f>
        <v>0</v>
      </c>
      <c r="AW194" s="40">
        <f>G194*AO194</f>
        <v>0</v>
      </c>
      <c r="AX194" s="40">
        <f>G194*AP194</f>
        <v>0</v>
      </c>
      <c r="AY194" s="43" t="s">
        <v>536</v>
      </c>
      <c r="AZ194" s="43" t="s">
        <v>554</v>
      </c>
      <c r="BA194" s="39" t="s">
        <v>557</v>
      </c>
      <c r="BC194" s="40">
        <f>AW194+AX194</f>
        <v>0</v>
      </c>
      <c r="BD194" s="40">
        <f>H194/(100-BE194)*100</f>
        <v>0</v>
      </c>
      <c r="BE194" s="40">
        <v>0</v>
      </c>
      <c r="BF194" s="40">
        <f>194</f>
        <v>194</v>
      </c>
      <c r="BH194" s="21">
        <f>G194*AO194</f>
        <v>0</v>
      </c>
      <c r="BI194" s="21">
        <f>G194*AP194</f>
        <v>0</v>
      </c>
      <c r="BJ194" s="21">
        <f>G194*H194</f>
        <v>0</v>
      </c>
      <c r="BK194" s="21" t="s">
        <v>562</v>
      </c>
      <c r="BL194" s="40">
        <v>764</v>
      </c>
    </row>
    <row r="195" spans="1:64" x14ac:dyDescent="0.25">
      <c r="A195" s="5"/>
      <c r="C195" s="87" t="s">
        <v>397</v>
      </c>
      <c r="D195" s="88"/>
      <c r="E195" s="88"/>
      <c r="G195" s="22">
        <v>4</v>
      </c>
      <c r="L195" s="34"/>
      <c r="M195" s="5"/>
    </row>
    <row r="196" spans="1:64" x14ac:dyDescent="0.25">
      <c r="A196" s="6"/>
      <c r="B196" s="15" t="s">
        <v>158</v>
      </c>
      <c r="C196" s="83" t="s">
        <v>398</v>
      </c>
      <c r="D196" s="84"/>
      <c r="E196" s="84"/>
      <c r="F196" s="19" t="s">
        <v>6</v>
      </c>
      <c r="G196" s="19" t="s">
        <v>6</v>
      </c>
      <c r="H196" s="19" t="s">
        <v>6</v>
      </c>
      <c r="I196" s="46">
        <f>SUM(I197:I218)</f>
        <v>0</v>
      </c>
      <c r="J196" s="46">
        <f>SUM(J197:J218)</f>
        <v>0</v>
      </c>
      <c r="K196" s="46">
        <f>SUM(K197:K218)</f>
        <v>0</v>
      </c>
      <c r="L196" s="35"/>
      <c r="M196" s="5"/>
      <c r="AI196" s="39"/>
      <c r="AS196" s="46">
        <f>SUM(AJ197:AJ218)</f>
        <v>0</v>
      </c>
      <c r="AT196" s="46">
        <f>SUM(AK197:AK218)</f>
        <v>0</v>
      </c>
      <c r="AU196" s="46">
        <f>SUM(AL197:AL218)</f>
        <v>0</v>
      </c>
    </row>
    <row r="197" spans="1:64" x14ac:dyDescent="0.25">
      <c r="A197" s="4" t="s">
        <v>57</v>
      </c>
      <c r="B197" s="14" t="s">
        <v>159</v>
      </c>
      <c r="C197" s="85" t="s">
        <v>399</v>
      </c>
      <c r="D197" s="86"/>
      <c r="E197" s="86"/>
      <c r="F197" s="14" t="s">
        <v>497</v>
      </c>
      <c r="G197" s="21">
        <v>41</v>
      </c>
      <c r="H197" s="21">
        <v>0</v>
      </c>
      <c r="I197" s="21">
        <f>G197*AO197</f>
        <v>0</v>
      </c>
      <c r="J197" s="21">
        <f>G197*AP197</f>
        <v>0</v>
      </c>
      <c r="K197" s="21">
        <f>G197*H197</f>
        <v>0</v>
      </c>
      <c r="L197" s="33" t="s">
        <v>517</v>
      </c>
      <c r="M197" s="5"/>
      <c r="Z197" s="40">
        <f>IF(AQ197="5",BJ197,0)</f>
        <v>0</v>
      </c>
      <c r="AB197" s="40">
        <f>IF(AQ197="1",BH197,0)</f>
        <v>0</v>
      </c>
      <c r="AC197" s="40">
        <f>IF(AQ197="1",BI197,0)</f>
        <v>0</v>
      </c>
      <c r="AD197" s="40">
        <f>IF(AQ197="7",BH197,0)</f>
        <v>0</v>
      </c>
      <c r="AE197" s="40">
        <f>IF(AQ197="7",BI197,0)</f>
        <v>0</v>
      </c>
      <c r="AF197" s="40">
        <f>IF(AQ197="2",BH197,0)</f>
        <v>0</v>
      </c>
      <c r="AG197" s="40">
        <f>IF(AQ197="2",BI197,0)</f>
        <v>0</v>
      </c>
      <c r="AH197" s="40">
        <f>IF(AQ197="0",BJ197,0)</f>
        <v>0</v>
      </c>
      <c r="AI197" s="39"/>
      <c r="AJ197" s="21">
        <f>IF(AN197=0,K197,0)</f>
        <v>0</v>
      </c>
      <c r="AK197" s="21">
        <f>IF(AN197=15,K197,0)</f>
        <v>0</v>
      </c>
      <c r="AL197" s="21">
        <f>IF(AN197=21,K197,0)</f>
        <v>0</v>
      </c>
      <c r="AN197" s="40">
        <v>15</v>
      </c>
      <c r="AO197" s="40">
        <f>H197*0.0630492091388401</f>
        <v>0</v>
      </c>
      <c r="AP197" s="40">
        <f>H197*(1-0.0630492091388401)</f>
        <v>0</v>
      </c>
      <c r="AQ197" s="41" t="s">
        <v>13</v>
      </c>
      <c r="AV197" s="40">
        <f>AW197+AX197</f>
        <v>0</v>
      </c>
      <c r="AW197" s="40">
        <f>G197*AO197</f>
        <v>0</v>
      </c>
      <c r="AX197" s="40">
        <f>G197*AP197</f>
        <v>0</v>
      </c>
      <c r="AY197" s="43" t="s">
        <v>537</v>
      </c>
      <c r="AZ197" s="43" t="s">
        <v>554</v>
      </c>
      <c r="BA197" s="39" t="s">
        <v>557</v>
      </c>
      <c r="BC197" s="40">
        <f>AW197+AX197</f>
        <v>0</v>
      </c>
      <c r="BD197" s="40">
        <f>H197/(100-BE197)*100</f>
        <v>0</v>
      </c>
      <c r="BE197" s="40">
        <v>0</v>
      </c>
      <c r="BF197" s="40">
        <f>197</f>
        <v>197</v>
      </c>
      <c r="BH197" s="21">
        <f>G197*AO197</f>
        <v>0</v>
      </c>
      <c r="BI197" s="21">
        <f>G197*AP197</f>
        <v>0</v>
      </c>
      <c r="BJ197" s="21">
        <f>G197*H197</f>
        <v>0</v>
      </c>
      <c r="BK197" s="21" t="s">
        <v>562</v>
      </c>
      <c r="BL197" s="40">
        <v>766</v>
      </c>
    </row>
    <row r="198" spans="1:64" x14ac:dyDescent="0.25">
      <c r="A198" s="5"/>
      <c r="C198" s="87" t="s">
        <v>400</v>
      </c>
      <c r="D198" s="88"/>
      <c r="E198" s="88"/>
      <c r="G198" s="22">
        <v>17</v>
      </c>
      <c r="L198" s="34"/>
      <c r="M198" s="5"/>
    </row>
    <row r="199" spans="1:64" x14ac:dyDescent="0.25">
      <c r="A199" s="5"/>
      <c r="C199" s="87" t="s">
        <v>401</v>
      </c>
      <c r="D199" s="88"/>
      <c r="E199" s="88"/>
      <c r="G199" s="22">
        <v>12</v>
      </c>
      <c r="L199" s="34"/>
      <c r="M199" s="5"/>
    </row>
    <row r="200" spans="1:64" x14ac:dyDescent="0.25">
      <c r="A200" s="5"/>
      <c r="C200" s="87" t="s">
        <v>402</v>
      </c>
      <c r="D200" s="88"/>
      <c r="E200" s="88"/>
      <c r="G200" s="22">
        <v>12</v>
      </c>
      <c r="L200" s="34"/>
      <c r="M200" s="5"/>
    </row>
    <row r="201" spans="1:64" x14ac:dyDescent="0.25">
      <c r="A201" s="7" t="s">
        <v>58</v>
      </c>
      <c r="B201" s="16" t="s">
        <v>160</v>
      </c>
      <c r="C201" s="100" t="s">
        <v>403</v>
      </c>
      <c r="D201" s="101"/>
      <c r="E201" s="101"/>
      <c r="F201" s="16" t="s">
        <v>497</v>
      </c>
      <c r="G201" s="63">
        <v>17</v>
      </c>
      <c r="H201" s="23">
        <v>0</v>
      </c>
      <c r="I201" s="23">
        <f>G201*AO201</f>
        <v>0</v>
      </c>
      <c r="J201" s="23">
        <f>G201*AP201</f>
        <v>0</v>
      </c>
      <c r="K201" s="23">
        <f>G201*H201</f>
        <v>0</v>
      </c>
      <c r="L201" s="36"/>
      <c r="M201" s="5"/>
      <c r="Z201" s="40">
        <f>IF(AQ201="5",BJ201,0)</f>
        <v>0</v>
      </c>
      <c r="AB201" s="40">
        <f>IF(AQ201="1",BH201,0)</f>
        <v>0</v>
      </c>
      <c r="AC201" s="40">
        <f>IF(AQ201="1",BI201,0)</f>
        <v>0</v>
      </c>
      <c r="AD201" s="40">
        <f>IF(AQ201="7",BH201,0)</f>
        <v>0</v>
      </c>
      <c r="AE201" s="40">
        <f>IF(AQ201="7",BI201,0)</f>
        <v>0</v>
      </c>
      <c r="AF201" s="40">
        <f>IF(AQ201="2",BH201,0)</f>
        <v>0</v>
      </c>
      <c r="AG201" s="40">
        <f>IF(AQ201="2",BI201,0)</f>
        <v>0</v>
      </c>
      <c r="AH201" s="40">
        <f>IF(AQ201="0",BJ201,0)</f>
        <v>0</v>
      </c>
      <c r="AI201" s="39"/>
      <c r="AJ201" s="23">
        <f>IF(AN201=0,K201,0)</f>
        <v>0</v>
      </c>
      <c r="AK201" s="23">
        <f>IF(AN201=15,K201,0)</f>
        <v>0</v>
      </c>
      <c r="AL201" s="23">
        <f>IF(AN201=21,K201,0)</f>
        <v>0</v>
      </c>
      <c r="AN201" s="40">
        <v>15</v>
      </c>
      <c r="AO201" s="40">
        <f>H201*1</f>
        <v>0</v>
      </c>
      <c r="AP201" s="40">
        <f>H201*(1-1)</f>
        <v>0</v>
      </c>
      <c r="AQ201" s="42" t="s">
        <v>13</v>
      </c>
      <c r="AV201" s="40">
        <f>AW201+AX201</f>
        <v>0</v>
      </c>
      <c r="AW201" s="40">
        <f>G201*AO201</f>
        <v>0</v>
      </c>
      <c r="AX201" s="40">
        <f>G201*AP201</f>
        <v>0</v>
      </c>
      <c r="AY201" s="43" t="s">
        <v>537</v>
      </c>
      <c r="AZ201" s="43" t="s">
        <v>554</v>
      </c>
      <c r="BA201" s="39" t="s">
        <v>557</v>
      </c>
      <c r="BC201" s="40">
        <f>AW201+AX201</f>
        <v>0</v>
      </c>
      <c r="BD201" s="40">
        <f>H201/(100-BE201)*100</f>
        <v>0</v>
      </c>
      <c r="BE201" s="40">
        <v>0</v>
      </c>
      <c r="BF201" s="40">
        <f>201</f>
        <v>201</v>
      </c>
      <c r="BH201" s="23">
        <f>G201*AO201</f>
        <v>0</v>
      </c>
      <c r="BI201" s="23">
        <f>G201*AP201</f>
        <v>0</v>
      </c>
      <c r="BJ201" s="23">
        <f>G201*H201</f>
        <v>0</v>
      </c>
      <c r="BK201" s="23" t="s">
        <v>563</v>
      </c>
      <c r="BL201" s="40">
        <v>766</v>
      </c>
    </row>
    <row r="202" spans="1:64" x14ac:dyDescent="0.25">
      <c r="A202" s="5"/>
      <c r="C202" s="87" t="s">
        <v>400</v>
      </c>
      <c r="D202" s="88"/>
      <c r="E202" s="88"/>
      <c r="G202" s="22">
        <v>17</v>
      </c>
      <c r="L202" s="34"/>
      <c r="M202" s="5"/>
    </row>
    <row r="203" spans="1:64" x14ac:dyDescent="0.25">
      <c r="A203" s="7" t="s">
        <v>59</v>
      </c>
      <c r="B203" s="16" t="s">
        <v>161</v>
      </c>
      <c r="C203" s="100" t="s">
        <v>404</v>
      </c>
      <c r="D203" s="101"/>
      <c r="E203" s="101"/>
      <c r="F203" s="16" t="s">
        <v>497</v>
      </c>
      <c r="G203" s="63">
        <v>24</v>
      </c>
      <c r="H203" s="23">
        <v>0</v>
      </c>
      <c r="I203" s="23">
        <f>G203*AO203</f>
        <v>0</v>
      </c>
      <c r="J203" s="23">
        <f>G203*AP203</f>
        <v>0</v>
      </c>
      <c r="K203" s="23">
        <f>G203*H203</f>
        <v>0</v>
      </c>
      <c r="L203" s="36"/>
      <c r="M203" s="5"/>
      <c r="Z203" s="40">
        <f>IF(AQ203="5",BJ203,0)</f>
        <v>0</v>
      </c>
      <c r="AB203" s="40">
        <f>IF(AQ203="1",BH203,0)</f>
        <v>0</v>
      </c>
      <c r="AC203" s="40">
        <f>IF(AQ203="1",BI203,0)</f>
        <v>0</v>
      </c>
      <c r="AD203" s="40">
        <f>IF(AQ203="7",BH203,0)</f>
        <v>0</v>
      </c>
      <c r="AE203" s="40">
        <f>IF(AQ203="7",BI203,0)</f>
        <v>0</v>
      </c>
      <c r="AF203" s="40">
        <f>IF(AQ203="2",BH203,0)</f>
        <v>0</v>
      </c>
      <c r="AG203" s="40">
        <f>IF(AQ203="2",BI203,0)</f>
        <v>0</v>
      </c>
      <c r="AH203" s="40">
        <f>IF(AQ203="0",BJ203,0)</f>
        <v>0</v>
      </c>
      <c r="AI203" s="39"/>
      <c r="AJ203" s="23">
        <f>IF(AN203=0,K203,0)</f>
        <v>0</v>
      </c>
      <c r="AK203" s="23">
        <f>IF(AN203=15,K203,0)</f>
        <v>0</v>
      </c>
      <c r="AL203" s="23">
        <f>IF(AN203=21,K203,0)</f>
        <v>0</v>
      </c>
      <c r="AN203" s="40">
        <v>15</v>
      </c>
      <c r="AO203" s="40">
        <f>H203*1</f>
        <v>0</v>
      </c>
      <c r="AP203" s="40">
        <f>H203*(1-1)</f>
        <v>0</v>
      </c>
      <c r="AQ203" s="42" t="s">
        <v>13</v>
      </c>
      <c r="AV203" s="40">
        <f>AW203+AX203</f>
        <v>0</v>
      </c>
      <c r="AW203" s="40">
        <f>G203*AO203</f>
        <v>0</v>
      </c>
      <c r="AX203" s="40">
        <f>G203*AP203</f>
        <v>0</v>
      </c>
      <c r="AY203" s="43" t="s">
        <v>537</v>
      </c>
      <c r="AZ203" s="43" t="s">
        <v>554</v>
      </c>
      <c r="BA203" s="39" t="s">
        <v>557</v>
      </c>
      <c r="BC203" s="40">
        <f>AW203+AX203</f>
        <v>0</v>
      </c>
      <c r="BD203" s="40">
        <f>H203/(100-BE203)*100</f>
        <v>0</v>
      </c>
      <c r="BE203" s="40">
        <v>0</v>
      </c>
      <c r="BF203" s="40">
        <f>203</f>
        <v>203</v>
      </c>
      <c r="BH203" s="23">
        <f>G203*AO203</f>
        <v>0</v>
      </c>
      <c r="BI203" s="23">
        <f>G203*AP203</f>
        <v>0</v>
      </c>
      <c r="BJ203" s="23">
        <f>G203*H203</f>
        <v>0</v>
      </c>
      <c r="BK203" s="23" t="s">
        <v>563</v>
      </c>
      <c r="BL203" s="40">
        <v>766</v>
      </c>
    </row>
    <row r="204" spans="1:64" x14ac:dyDescent="0.25">
      <c r="A204" s="5"/>
      <c r="C204" s="87" t="s">
        <v>401</v>
      </c>
      <c r="D204" s="88"/>
      <c r="E204" s="88"/>
      <c r="G204" s="22">
        <v>12</v>
      </c>
      <c r="L204" s="34"/>
      <c r="M204" s="5"/>
    </row>
    <row r="205" spans="1:64" x14ac:dyDescent="0.25">
      <c r="A205" s="5"/>
      <c r="C205" s="87" t="s">
        <v>402</v>
      </c>
      <c r="D205" s="88"/>
      <c r="E205" s="88"/>
      <c r="G205" s="22">
        <v>12</v>
      </c>
      <c r="L205" s="34"/>
      <c r="M205" s="5"/>
    </row>
    <row r="206" spans="1:64" x14ac:dyDescent="0.25">
      <c r="A206" s="4" t="s">
        <v>60</v>
      </c>
      <c r="B206" s="14" t="s">
        <v>162</v>
      </c>
      <c r="C206" s="85" t="s">
        <v>405</v>
      </c>
      <c r="D206" s="86"/>
      <c r="E206" s="86"/>
      <c r="F206" s="14" t="s">
        <v>497</v>
      </c>
      <c r="G206" s="21">
        <v>24</v>
      </c>
      <c r="H206" s="21">
        <v>0</v>
      </c>
      <c r="I206" s="21">
        <f>G206*AO206</f>
        <v>0</v>
      </c>
      <c r="J206" s="21">
        <f>G206*AP206</f>
        <v>0</v>
      </c>
      <c r="K206" s="21">
        <f>G206*H206</f>
        <v>0</v>
      </c>
      <c r="L206" s="33" t="s">
        <v>517</v>
      </c>
      <c r="M206" s="5"/>
      <c r="Z206" s="40">
        <f>IF(AQ206="5",BJ206,0)</f>
        <v>0</v>
      </c>
      <c r="AB206" s="40">
        <f>IF(AQ206="1",BH206,0)</f>
        <v>0</v>
      </c>
      <c r="AC206" s="40">
        <f>IF(AQ206="1",BI206,0)</f>
        <v>0</v>
      </c>
      <c r="AD206" s="40">
        <f>IF(AQ206="7",BH206,0)</f>
        <v>0</v>
      </c>
      <c r="AE206" s="40">
        <f>IF(AQ206="7",BI206,0)</f>
        <v>0</v>
      </c>
      <c r="AF206" s="40">
        <f>IF(AQ206="2",BH206,0)</f>
        <v>0</v>
      </c>
      <c r="AG206" s="40">
        <f>IF(AQ206="2",BI206,0)</f>
        <v>0</v>
      </c>
      <c r="AH206" s="40">
        <f>IF(AQ206="0",BJ206,0)</f>
        <v>0</v>
      </c>
      <c r="AI206" s="39"/>
      <c r="AJ206" s="21">
        <f>IF(AN206=0,K206,0)</f>
        <v>0</v>
      </c>
      <c r="AK206" s="21">
        <f>IF(AN206=15,K206,0)</f>
        <v>0</v>
      </c>
      <c r="AL206" s="21">
        <f>IF(AN206=21,K206,0)</f>
        <v>0</v>
      </c>
      <c r="AN206" s="40">
        <v>15</v>
      </c>
      <c r="AO206" s="40">
        <f>H206*0.0874496461061372</f>
        <v>0</v>
      </c>
      <c r="AP206" s="40">
        <f>H206*(1-0.0874496461061372)</f>
        <v>0</v>
      </c>
      <c r="AQ206" s="41" t="s">
        <v>13</v>
      </c>
      <c r="AV206" s="40">
        <f>AW206+AX206</f>
        <v>0</v>
      </c>
      <c r="AW206" s="40">
        <f>G206*AO206</f>
        <v>0</v>
      </c>
      <c r="AX206" s="40">
        <f>G206*AP206</f>
        <v>0</v>
      </c>
      <c r="AY206" s="43" t="s">
        <v>537</v>
      </c>
      <c r="AZ206" s="43" t="s">
        <v>554</v>
      </c>
      <c r="BA206" s="39" t="s">
        <v>557</v>
      </c>
      <c r="BC206" s="40">
        <f>AW206+AX206</f>
        <v>0</v>
      </c>
      <c r="BD206" s="40">
        <f>H206/(100-BE206)*100</f>
        <v>0</v>
      </c>
      <c r="BE206" s="40">
        <v>0</v>
      </c>
      <c r="BF206" s="40">
        <f>206</f>
        <v>206</v>
      </c>
      <c r="BH206" s="21">
        <f>G206*AO206</f>
        <v>0</v>
      </c>
      <c r="BI206" s="21">
        <f>G206*AP206</f>
        <v>0</v>
      </c>
      <c r="BJ206" s="21">
        <f>G206*H206</f>
        <v>0</v>
      </c>
      <c r="BK206" s="21" t="s">
        <v>562</v>
      </c>
      <c r="BL206" s="40">
        <v>766</v>
      </c>
    </row>
    <row r="207" spans="1:64" x14ac:dyDescent="0.25">
      <c r="A207" s="5"/>
      <c r="C207" s="87" t="s">
        <v>406</v>
      </c>
      <c r="D207" s="88"/>
      <c r="E207" s="88"/>
      <c r="G207" s="22">
        <v>24</v>
      </c>
      <c r="L207" s="34"/>
      <c r="M207" s="5"/>
    </row>
    <row r="208" spans="1:64" x14ac:dyDescent="0.25">
      <c r="A208" s="7" t="s">
        <v>61</v>
      </c>
      <c r="B208" s="16" t="s">
        <v>163</v>
      </c>
      <c r="C208" s="100" t="s">
        <v>407</v>
      </c>
      <c r="D208" s="101"/>
      <c r="E208" s="101"/>
      <c r="F208" s="16" t="s">
        <v>497</v>
      </c>
      <c r="G208" s="63">
        <v>24</v>
      </c>
      <c r="H208" s="23">
        <v>0</v>
      </c>
      <c r="I208" s="23">
        <f>G208*AO208</f>
        <v>0</v>
      </c>
      <c r="J208" s="23">
        <f>G208*AP208</f>
        <v>0</v>
      </c>
      <c r="K208" s="23">
        <f>G208*H208</f>
        <v>0</v>
      </c>
      <c r="L208" s="36"/>
      <c r="M208" s="5"/>
      <c r="Z208" s="40">
        <f>IF(AQ208="5",BJ208,0)</f>
        <v>0</v>
      </c>
      <c r="AB208" s="40">
        <f>IF(AQ208="1",BH208,0)</f>
        <v>0</v>
      </c>
      <c r="AC208" s="40">
        <f>IF(AQ208="1",BI208,0)</f>
        <v>0</v>
      </c>
      <c r="AD208" s="40">
        <f>IF(AQ208="7",BH208,0)</f>
        <v>0</v>
      </c>
      <c r="AE208" s="40">
        <f>IF(AQ208="7",BI208,0)</f>
        <v>0</v>
      </c>
      <c r="AF208" s="40">
        <f>IF(AQ208="2",BH208,0)</f>
        <v>0</v>
      </c>
      <c r="AG208" s="40">
        <f>IF(AQ208="2",BI208,0)</f>
        <v>0</v>
      </c>
      <c r="AH208" s="40">
        <f>IF(AQ208="0",BJ208,0)</f>
        <v>0</v>
      </c>
      <c r="AI208" s="39"/>
      <c r="AJ208" s="23">
        <f>IF(AN208=0,K208,0)</f>
        <v>0</v>
      </c>
      <c r="AK208" s="23">
        <f>IF(AN208=15,K208,0)</f>
        <v>0</v>
      </c>
      <c r="AL208" s="23">
        <f>IF(AN208=21,K208,0)</f>
        <v>0</v>
      </c>
      <c r="AN208" s="40">
        <v>15</v>
      </c>
      <c r="AO208" s="40">
        <f>H208*1</f>
        <v>0</v>
      </c>
      <c r="AP208" s="40">
        <f>H208*(1-1)</f>
        <v>0</v>
      </c>
      <c r="AQ208" s="42" t="s">
        <v>13</v>
      </c>
      <c r="AV208" s="40">
        <f>AW208+AX208</f>
        <v>0</v>
      </c>
      <c r="AW208" s="40">
        <f>G208*AO208</f>
        <v>0</v>
      </c>
      <c r="AX208" s="40">
        <f>G208*AP208</f>
        <v>0</v>
      </c>
      <c r="AY208" s="43" t="s">
        <v>537</v>
      </c>
      <c r="AZ208" s="43" t="s">
        <v>554</v>
      </c>
      <c r="BA208" s="39" t="s">
        <v>557</v>
      </c>
      <c r="BC208" s="40">
        <f>AW208+AX208</f>
        <v>0</v>
      </c>
      <c r="BD208" s="40">
        <f>H208/(100-BE208)*100</f>
        <v>0</v>
      </c>
      <c r="BE208" s="40">
        <v>0</v>
      </c>
      <c r="BF208" s="40">
        <f>208</f>
        <v>208</v>
      </c>
      <c r="BH208" s="23">
        <f>G208*AO208</f>
        <v>0</v>
      </c>
      <c r="BI208" s="23">
        <f>G208*AP208</f>
        <v>0</v>
      </c>
      <c r="BJ208" s="23">
        <f>G208*H208</f>
        <v>0</v>
      </c>
      <c r="BK208" s="23" t="s">
        <v>563</v>
      </c>
      <c r="BL208" s="40">
        <v>766</v>
      </c>
    </row>
    <row r="209" spans="1:64" x14ac:dyDescent="0.25">
      <c r="A209" s="5"/>
      <c r="C209" s="87" t="s">
        <v>406</v>
      </c>
      <c r="D209" s="88"/>
      <c r="E209" s="88"/>
      <c r="G209" s="22">
        <v>24</v>
      </c>
      <c r="L209" s="34"/>
      <c r="M209" s="5"/>
    </row>
    <row r="210" spans="1:64" x14ac:dyDescent="0.25">
      <c r="A210" s="4" t="s">
        <v>62</v>
      </c>
      <c r="B210" s="14" t="s">
        <v>164</v>
      </c>
      <c r="C210" s="85" t="s">
        <v>408</v>
      </c>
      <c r="D210" s="86"/>
      <c r="E210" s="86"/>
      <c r="F210" s="14" t="s">
        <v>497</v>
      </c>
      <c r="G210" s="21">
        <v>16</v>
      </c>
      <c r="H210" s="21">
        <v>0</v>
      </c>
      <c r="I210" s="21">
        <f>G210*AO210</f>
        <v>0</v>
      </c>
      <c r="J210" s="21">
        <f>G210*AP210</f>
        <v>0</v>
      </c>
      <c r="K210" s="21">
        <f>G210*H210</f>
        <v>0</v>
      </c>
      <c r="L210" s="33" t="s">
        <v>517</v>
      </c>
      <c r="M210" s="5"/>
      <c r="Z210" s="40">
        <f>IF(AQ210="5",BJ210,0)</f>
        <v>0</v>
      </c>
      <c r="AB210" s="40">
        <f>IF(AQ210="1",BH210,0)</f>
        <v>0</v>
      </c>
      <c r="AC210" s="40">
        <f>IF(AQ210="1",BI210,0)</f>
        <v>0</v>
      </c>
      <c r="AD210" s="40">
        <f>IF(AQ210="7",BH210,0)</f>
        <v>0</v>
      </c>
      <c r="AE210" s="40">
        <f>IF(AQ210="7",BI210,0)</f>
        <v>0</v>
      </c>
      <c r="AF210" s="40">
        <f>IF(AQ210="2",BH210,0)</f>
        <v>0</v>
      </c>
      <c r="AG210" s="40">
        <f>IF(AQ210="2",BI210,0)</f>
        <v>0</v>
      </c>
      <c r="AH210" s="40">
        <f>IF(AQ210="0",BJ210,0)</f>
        <v>0</v>
      </c>
      <c r="AI210" s="39"/>
      <c r="AJ210" s="21">
        <f>IF(AN210=0,K210,0)</f>
        <v>0</v>
      </c>
      <c r="AK210" s="21">
        <f>IF(AN210=15,K210,0)</f>
        <v>0</v>
      </c>
      <c r="AL210" s="21">
        <f>IF(AN210=21,K210,0)</f>
        <v>0</v>
      </c>
      <c r="AN210" s="40">
        <v>15</v>
      </c>
      <c r="AO210" s="40">
        <f>H210*0.0690695970695971</f>
        <v>0</v>
      </c>
      <c r="AP210" s="40">
        <f>H210*(1-0.0690695970695971)</f>
        <v>0</v>
      </c>
      <c r="AQ210" s="41" t="s">
        <v>13</v>
      </c>
      <c r="AV210" s="40">
        <f>AW210+AX210</f>
        <v>0</v>
      </c>
      <c r="AW210" s="40">
        <f>G210*AO210</f>
        <v>0</v>
      </c>
      <c r="AX210" s="40">
        <f>G210*AP210</f>
        <v>0</v>
      </c>
      <c r="AY210" s="43" t="s">
        <v>537</v>
      </c>
      <c r="AZ210" s="43" t="s">
        <v>554</v>
      </c>
      <c r="BA210" s="39" t="s">
        <v>557</v>
      </c>
      <c r="BC210" s="40">
        <f>AW210+AX210</f>
        <v>0</v>
      </c>
      <c r="BD210" s="40">
        <f>H210/(100-BE210)*100</f>
        <v>0</v>
      </c>
      <c r="BE210" s="40">
        <v>0</v>
      </c>
      <c r="BF210" s="40">
        <f>210</f>
        <v>210</v>
      </c>
      <c r="BH210" s="21">
        <f>G210*AO210</f>
        <v>0</v>
      </c>
      <c r="BI210" s="21">
        <f>G210*AP210</f>
        <v>0</v>
      </c>
      <c r="BJ210" s="21">
        <f>G210*H210</f>
        <v>0</v>
      </c>
      <c r="BK210" s="21" t="s">
        <v>562</v>
      </c>
      <c r="BL210" s="40">
        <v>766</v>
      </c>
    </row>
    <row r="211" spans="1:64" x14ac:dyDescent="0.25">
      <c r="A211" s="5"/>
      <c r="C211" s="87" t="s">
        <v>409</v>
      </c>
      <c r="D211" s="88"/>
      <c r="E211" s="88"/>
      <c r="G211" s="22">
        <v>16</v>
      </c>
      <c r="L211" s="34"/>
      <c r="M211" s="5"/>
    </row>
    <row r="212" spans="1:64" x14ac:dyDescent="0.25">
      <c r="A212" s="7" t="s">
        <v>63</v>
      </c>
      <c r="B212" s="16" t="s">
        <v>165</v>
      </c>
      <c r="C212" s="100" t="s">
        <v>410</v>
      </c>
      <c r="D212" s="101"/>
      <c r="E212" s="101"/>
      <c r="F212" s="16" t="s">
        <v>497</v>
      </c>
      <c r="G212" s="63">
        <v>16</v>
      </c>
      <c r="H212" s="23">
        <v>0</v>
      </c>
      <c r="I212" s="23">
        <f>G212*AO212</f>
        <v>0</v>
      </c>
      <c r="J212" s="23">
        <f>G212*AP212</f>
        <v>0</v>
      </c>
      <c r="K212" s="23">
        <f>G212*H212</f>
        <v>0</v>
      </c>
      <c r="L212" s="36"/>
      <c r="M212" s="5"/>
      <c r="Z212" s="40">
        <f>IF(AQ212="5",BJ212,0)</f>
        <v>0</v>
      </c>
      <c r="AB212" s="40">
        <f>IF(AQ212="1",BH212,0)</f>
        <v>0</v>
      </c>
      <c r="AC212" s="40">
        <f>IF(AQ212="1",BI212,0)</f>
        <v>0</v>
      </c>
      <c r="AD212" s="40">
        <f>IF(AQ212="7",BH212,0)</f>
        <v>0</v>
      </c>
      <c r="AE212" s="40">
        <f>IF(AQ212="7",BI212,0)</f>
        <v>0</v>
      </c>
      <c r="AF212" s="40">
        <f>IF(AQ212="2",BH212,0)</f>
        <v>0</v>
      </c>
      <c r="AG212" s="40">
        <f>IF(AQ212="2",BI212,0)</f>
        <v>0</v>
      </c>
      <c r="AH212" s="40">
        <f>IF(AQ212="0",BJ212,0)</f>
        <v>0</v>
      </c>
      <c r="AI212" s="39"/>
      <c r="AJ212" s="23">
        <f>IF(AN212=0,K212,0)</f>
        <v>0</v>
      </c>
      <c r="AK212" s="23">
        <f>IF(AN212=15,K212,0)</f>
        <v>0</v>
      </c>
      <c r="AL212" s="23">
        <f>IF(AN212=21,K212,0)</f>
        <v>0</v>
      </c>
      <c r="AN212" s="40">
        <v>15</v>
      </c>
      <c r="AO212" s="40">
        <f>H212*1</f>
        <v>0</v>
      </c>
      <c r="AP212" s="40">
        <f>H212*(1-1)</f>
        <v>0</v>
      </c>
      <c r="AQ212" s="42" t="s">
        <v>13</v>
      </c>
      <c r="AV212" s="40">
        <f>AW212+AX212</f>
        <v>0</v>
      </c>
      <c r="AW212" s="40">
        <f>G212*AO212</f>
        <v>0</v>
      </c>
      <c r="AX212" s="40">
        <f>G212*AP212</f>
        <v>0</v>
      </c>
      <c r="AY212" s="43" t="s">
        <v>537</v>
      </c>
      <c r="AZ212" s="43" t="s">
        <v>554</v>
      </c>
      <c r="BA212" s="39" t="s">
        <v>557</v>
      </c>
      <c r="BC212" s="40">
        <f>AW212+AX212</f>
        <v>0</v>
      </c>
      <c r="BD212" s="40">
        <f>H212/(100-BE212)*100</f>
        <v>0</v>
      </c>
      <c r="BE212" s="40">
        <v>0</v>
      </c>
      <c r="BF212" s="40">
        <f>212</f>
        <v>212</v>
      </c>
      <c r="BH212" s="23">
        <f>G212*AO212</f>
        <v>0</v>
      </c>
      <c r="BI212" s="23">
        <f>G212*AP212</f>
        <v>0</v>
      </c>
      <c r="BJ212" s="23">
        <f>G212*H212</f>
        <v>0</v>
      </c>
      <c r="BK212" s="23" t="s">
        <v>563</v>
      </c>
      <c r="BL212" s="40">
        <v>766</v>
      </c>
    </row>
    <row r="213" spans="1:64" x14ac:dyDescent="0.25">
      <c r="A213" s="5"/>
      <c r="C213" s="87" t="s">
        <v>409</v>
      </c>
      <c r="D213" s="88"/>
      <c r="E213" s="88"/>
      <c r="G213" s="22">
        <v>16</v>
      </c>
      <c r="L213" s="34"/>
      <c r="M213" s="5"/>
    </row>
    <row r="214" spans="1:64" x14ac:dyDescent="0.25">
      <c r="A214" s="4" t="s">
        <v>64</v>
      </c>
      <c r="B214" s="14" t="s">
        <v>166</v>
      </c>
      <c r="C214" s="85" t="s">
        <v>411</v>
      </c>
      <c r="D214" s="86"/>
      <c r="E214" s="86"/>
      <c r="F214" s="14" t="s">
        <v>497</v>
      </c>
      <c r="G214" s="21">
        <v>2</v>
      </c>
      <c r="H214" s="21">
        <v>0</v>
      </c>
      <c r="I214" s="21">
        <f>G214*AO214</f>
        <v>0</v>
      </c>
      <c r="J214" s="21">
        <f>G214*AP214</f>
        <v>0</v>
      </c>
      <c r="K214" s="21">
        <f>G214*H214</f>
        <v>0</v>
      </c>
      <c r="L214" s="33" t="s">
        <v>517</v>
      </c>
      <c r="M214" s="5"/>
      <c r="Z214" s="40">
        <f>IF(AQ214="5",BJ214,0)</f>
        <v>0</v>
      </c>
      <c r="AB214" s="40">
        <f>IF(AQ214="1",BH214,0)</f>
        <v>0</v>
      </c>
      <c r="AC214" s="40">
        <f>IF(AQ214="1",BI214,0)</f>
        <v>0</v>
      </c>
      <c r="AD214" s="40">
        <f>IF(AQ214="7",BH214,0)</f>
        <v>0</v>
      </c>
      <c r="AE214" s="40">
        <f>IF(AQ214="7",BI214,0)</f>
        <v>0</v>
      </c>
      <c r="AF214" s="40">
        <f>IF(AQ214="2",BH214,0)</f>
        <v>0</v>
      </c>
      <c r="AG214" s="40">
        <f>IF(AQ214="2",BI214,0)</f>
        <v>0</v>
      </c>
      <c r="AH214" s="40">
        <f>IF(AQ214="0",BJ214,0)</f>
        <v>0</v>
      </c>
      <c r="AI214" s="39"/>
      <c r="AJ214" s="21">
        <f>IF(AN214=0,K214,0)</f>
        <v>0</v>
      </c>
      <c r="AK214" s="21">
        <f>IF(AN214=15,K214,0)</f>
        <v>0</v>
      </c>
      <c r="AL214" s="21">
        <f>IF(AN214=21,K214,0)</f>
        <v>0</v>
      </c>
      <c r="AN214" s="40">
        <v>15</v>
      </c>
      <c r="AO214" s="40">
        <f>H214*0.096216021132938</f>
        <v>0</v>
      </c>
      <c r="AP214" s="40">
        <f>H214*(1-0.096216021132938)</f>
        <v>0</v>
      </c>
      <c r="AQ214" s="41" t="s">
        <v>13</v>
      </c>
      <c r="AV214" s="40">
        <f>AW214+AX214</f>
        <v>0</v>
      </c>
      <c r="AW214" s="40">
        <f>G214*AO214</f>
        <v>0</v>
      </c>
      <c r="AX214" s="40">
        <f>G214*AP214</f>
        <v>0</v>
      </c>
      <c r="AY214" s="43" t="s">
        <v>537</v>
      </c>
      <c r="AZ214" s="43" t="s">
        <v>554</v>
      </c>
      <c r="BA214" s="39" t="s">
        <v>557</v>
      </c>
      <c r="BC214" s="40">
        <f>AW214+AX214</f>
        <v>0</v>
      </c>
      <c r="BD214" s="40">
        <f>H214/(100-BE214)*100</f>
        <v>0</v>
      </c>
      <c r="BE214" s="40">
        <v>0</v>
      </c>
      <c r="BF214" s="40">
        <f>214</f>
        <v>214</v>
      </c>
      <c r="BH214" s="21">
        <f>G214*AO214</f>
        <v>0</v>
      </c>
      <c r="BI214" s="21">
        <f>G214*AP214</f>
        <v>0</v>
      </c>
      <c r="BJ214" s="21">
        <f>G214*H214</f>
        <v>0</v>
      </c>
      <c r="BK214" s="21" t="s">
        <v>562</v>
      </c>
      <c r="BL214" s="40">
        <v>766</v>
      </c>
    </row>
    <row r="215" spans="1:64" x14ac:dyDescent="0.25">
      <c r="A215" s="5"/>
      <c r="C215" s="87" t="s">
        <v>412</v>
      </c>
      <c r="D215" s="88"/>
      <c r="E215" s="88"/>
      <c r="G215" s="22">
        <v>2</v>
      </c>
      <c r="L215" s="34"/>
      <c r="M215" s="5"/>
    </row>
    <row r="216" spans="1:64" x14ac:dyDescent="0.25">
      <c r="A216" s="7" t="s">
        <v>65</v>
      </c>
      <c r="B216" s="16" t="s">
        <v>167</v>
      </c>
      <c r="C216" s="100" t="s">
        <v>413</v>
      </c>
      <c r="D216" s="101"/>
      <c r="E216" s="101"/>
      <c r="F216" s="16" t="s">
        <v>497</v>
      </c>
      <c r="G216" s="63">
        <v>2</v>
      </c>
      <c r="H216" s="23">
        <v>0</v>
      </c>
      <c r="I216" s="23">
        <f>G216*AO216</f>
        <v>0</v>
      </c>
      <c r="J216" s="23">
        <f>G216*AP216</f>
        <v>0</v>
      </c>
      <c r="K216" s="23">
        <f>G216*H216</f>
        <v>0</v>
      </c>
      <c r="L216" s="36"/>
      <c r="M216" s="5"/>
      <c r="Z216" s="40">
        <f>IF(AQ216="5",BJ216,0)</f>
        <v>0</v>
      </c>
      <c r="AB216" s="40">
        <f>IF(AQ216="1",BH216,0)</f>
        <v>0</v>
      </c>
      <c r="AC216" s="40">
        <f>IF(AQ216="1",BI216,0)</f>
        <v>0</v>
      </c>
      <c r="AD216" s="40">
        <f>IF(AQ216="7",BH216,0)</f>
        <v>0</v>
      </c>
      <c r="AE216" s="40">
        <f>IF(AQ216="7",BI216,0)</f>
        <v>0</v>
      </c>
      <c r="AF216" s="40">
        <f>IF(AQ216="2",BH216,0)</f>
        <v>0</v>
      </c>
      <c r="AG216" s="40">
        <f>IF(AQ216="2",BI216,0)</f>
        <v>0</v>
      </c>
      <c r="AH216" s="40">
        <f>IF(AQ216="0",BJ216,0)</f>
        <v>0</v>
      </c>
      <c r="AI216" s="39"/>
      <c r="AJ216" s="23">
        <f>IF(AN216=0,K216,0)</f>
        <v>0</v>
      </c>
      <c r="AK216" s="23">
        <f>IF(AN216=15,K216,0)</f>
        <v>0</v>
      </c>
      <c r="AL216" s="23">
        <f>IF(AN216=21,K216,0)</f>
        <v>0</v>
      </c>
      <c r="AN216" s="40">
        <v>15</v>
      </c>
      <c r="AO216" s="40">
        <f>H216*1</f>
        <v>0</v>
      </c>
      <c r="AP216" s="40">
        <f>H216*(1-1)</f>
        <v>0</v>
      </c>
      <c r="AQ216" s="42" t="s">
        <v>13</v>
      </c>
      <c r="AV216" s="40">
        <f>AW216+AX216</f>
        <v>0</v>
      </c>
      <c r="AW216" s="40">
        <f>G216*AO216</f>
        <v>0</v>
      </c>
      <c r="AX216" s="40">
        <f>G216*AP216</f>
        <v>0</v>
      </c>
      <c r="AY216" s="43" t="s">
        <v>537</v>
      </c>
      <c r="AZ216" s="43" t="s">
        <v>554</v>
      </c>
      <c r="BA216" s="39" t="s">
        <v>557</v>
      </c>
      <c r="BC216" s="40">
        <f>AW216+AX216</f>
        <v>0</v>
      </c>
      <c r="BD216" s="40">
        <f>H216/(100-BE216)*100</f>
        <v>0</v>
      </c>
      <c r="BE216" s="40">
        <v>0</v>
      </c>
      <c r="BF216" s="40">
        <f>216</f>
        <v>216</v>
      </c>
      <c r="BH216" s="23">
        <f>G216*AO216</f>
        <v>0</v>
      </c>
      <c r="BI216" s="23">
        <f>G216*AP216</f>
        <v>0</v>
      </c>
      <c r="BJ216" s="23">
        <f>G216*H216</f>
        <v>0</v>
      </c>
      <c r="BK216" s="23" t="s">
        <v>563</v>
      </c>
      <c r="BL216" s="40">
        <v>766</v>
      </c>
    </row>
    <row r="217" spans="1:64" x14ac:dyDescent="0.25">
      <c r="A217" s="5"/>
      <c r="C217" s="87" t="s">
        <v>414</v>
      </c>
      <c r="D217" s="88"/>
      <c r="E217" s="88"/>
      <c r="G217" s="22">
        <v>2</v>
      </c>
      <c r="L217" s="34"/>
      <c r="M217" s="5"/>
    </row>
    <row r="218" spans="1:64" x14ac:dyDescent="0.25">
      <c r="A218" s="4" t="s">
        <v>66</v>
      </c>
      <c r="B218" s="14" t="s">
        <v>168</v>
      </c>
      <c r="C218" s="85" t="s">
        <v>415</v>
      </c>
      <c r="D218" s="86"/>
      <c r="E218" s="86"/>
      <c r="F218" s="14" t="s">
        <v>495</v>
      </c>
      <c r="G218" s="64">
        <v>2.34</v>
      </c>
      <c r="H218" s="21">
        <v>0</v>
      </c>
      <c r="I218" s="21">
        <f>G218*AO218</f>
        <v>0</v>
      </c>
      <c r="J218" s="21">
        <f>G218*AP218</f>
        <v>0</v>
      </c>
      <c r="K218" s="21">
        <f>G218*H218</f>
        <v>0</v>
      </c>
      <c r="L218" s="33"/>
      <c r="M218" s="5"/>
      <c r="Z218" s="40">
        <f>IF(AQ218="5",BJ218,0)</f>
        <v>0</v>
      </c>
      <c r="AB218" s="40">
        <f>IF(AQ218="1",BH218,0)</f>
        <v>0</v>
      </c>
      <c r="AC218" s="40">
        <f>IF(AQ218="1",BI218,0)</f>
        <v>0</v>
      </c>
      <c r="AD218" s="40">
        <f>IF(AQ218="7",BH218,0)</f>
        <v>0</v>
      </c>
      <c r="AE218" s="40">
        <f>IF(AQ218="7",BI218,0)</f>
        <v>0</v>
      </c>
      <c r="AF218" s="40">
        <f>IF(AQ218="2",BH218,0)</f>
        <v>0</v>
      </c>
      <c r="AG218" s="40">
        <f>IF(AQ218="2",BI218,0)</f>
        <v>0</v>
      </c>
      <c r="AH218" s="40">
        <f>IF(AQ218="0",BJ218,0)</f>
        <v>0</v>
      </c>
      <c r="AI218" s="39"/>
      <c r="AJ218" s="21">
        <f>IF(AN218=0,K218,0)</f>
        <v>0</v>
      </c>
      <c r="AK218" s="21">
        <f>IF(AN218=15,K218,0)</f>
        <v>0</v>
      </c>
      <c r="AL218" s="21">
        <f>IF(AN218=21,K218,0)</f>
        <v>0</v>
      </c>
      <c r="AN218" s="40">
        <v>15</v>
      </c>
      <c r="AO218" s="40">
        <f>H218*0.6</f>
        <v>0</v>
      </c>
      <c r="AP218" s="40">
        <f>H218*(1-0.6)</f>
        <v>0</v>
      </c>
      <c r="AQ218" s="41" t="s">
        <v>13</v>
      </c>
      <c r="AV218" s="40">
        <f>AW218+AX218</f>
        <v>0</v>
      </c>
      <c r="AW218" s="40">
        <f>G218*AO218</f>
        <v>0</v>
      </c>
      <c r="AX218" s="40">
        <f>G218*AP218</f>
        <v>0</v>
      </c>
      <c r="AY218" s="43" t="s">
        <v>537</v>
      </c>
      <c r="AZ218" s="43" t="s">
        <v>554</v>
      </c>
      <c r="BA218" s="39" t="s">
        <v>557</v>
      </c>
      <c r="BC218" s="40">
        <f>AW218+AX218</f>
        <v>0</v>
      </c>
      <c r="BD218" s="40">
        <f>H218/(100-BE218)*100</f>
        <v>0</v>
      </c>
      <c r="BE218" s="40">
        <v>0</v>
      </c>
      <c r="BF218" s="40">
        <f>218</f>
        <v>218</v>
      </c>
      <c r="BH218" s="21">
        <f>G218*AO218</f>
        <v>0</v>
      </c>
      <c r="BI218" s="21">
        <f>G218*AP218</f>
        <v>0</v>
      </c>
      <c r="BJ218" s="21">
        <f>G218*H218</f>
        <v>0</v>
      </c>
      <c r="BK218" s="21" t="s">
        <v>562</v>
      </c>
      <c r="BL218" s="40">
        <v>766</v>
      </c>
    </row>
    <row r="219" spans="1:64" x14ac:dyDescent="0.25">
      <c r="A219" s="5"/>
      <c r="C219" s="87" t="s">
        <v>416</v>
      </c>
      <c r="D219" s="88"/>
      <c r="E219" s="88"/>
      <c r="G219" s="22">
        <v>2.34</v>
      </c>
      <c r="L219" s="34"/>
      <c r="M219" s="5"/>
    </row>
    <row r="220" spans="1:64" x14ac:dyDescent="0.25">
      <c r="A220" s="6"/>
      <c r="B220" s="15" t="s">
        <v>169</v>
      </c>
      <c r="C220" s="83" t="s">
        <v>417</v>
      </c>
      <c r="D220" s="84"/>
      <c r="E220" s="84"/>
      <c r="F220" s="19" t="s">
        <v>6</v>
      </c>
      <c r="G220" s="19" t="s">
        <v>6</v>
      </c>
      <c r="H220" s="19" t="s">
        <v>6</v>
      </c>
      <c r="I220" s="46">
        <f>SUM(I221:I227)</f>
        <v>0</v>
      </c>
      <c r="J220" s="46">
        <f>SUM(J221:J227)</f>
        <v>0</v>
      </c>
      <c r="K220" s="46">
        <f>SUM(K221:K227)</f>
        <v>0</v>
      </c>
      <c r="L220" s="35"/>
      <c r="M220" s="5"/>
      <c r="AI220" s="39"/>
      <c r="AS220" s="46">
        <f>SUM(AJ221:AJ227)</f>
        <v>0</v>
      </c>
      <c r="AT220" s="46">
        <f>SUM(AK221:AK227)</f>
        <v>0</v>
      </c>
      <c r="AU220" s="46">
        <f>SUM(AL221:AL227)</f>
        <v>0</v>
      </c>
    </row>
    <row r="221" spans="1:64" x14ac:dyDescent="0.25">
      <c r="A221" s="4" t="s">
        <v>67</v>
      </c>
      <c r="B221" s="14" t="s">
        <v>170</v>
      </c>
      <c r="C221" s="85" t="s">
        <v>418</v>
      </c>
      <c r="D221" s="86"/>
      <c r="E221" s="86"/>
      <c r="F221" s="14" t="s">
        <v>498</v>
      </c>
      <c r="G221" s="21">
        <v>40</v>
      </c>
      <c r="H221" s="21">
        <v>0</v>
      </c>
      <c r="I221" s="21">
        <f>G221*AO221</f>
        <v>0</v>
      </c>
      <c r="J221" s="21">
        <f>G221*AP221</f>
        <v>0</v>
      </c>
      <c r="K221" s="21">
        <f>G221*H221</f>
        <v>0</v>
      </c>
      <c r="L221" s="33" t="s">
        <v>517</v>
      </c>
      <c r="M221" s="5"/>
      <c r="Z221" s="40">
        <f>IF(AQ221="5",BJ221,0)</f>
        <v>0</v>
      </c>
      <c r="AB221" s="40">
        <f>IF(AQ221="1",BH221,0)</f>
        <v>0</v>
      </c>
      <c r="AC221" s="40">
        <f>IF(AQ221="1",BI221,0)</f>
        <v>0</v>
      </c>
      <c r="AD221" s="40">
        <f>IF(AQ221="7",BH221,0)</f>
        <v>0</v>
      </c>
      <c r="AE221" s="40">
        <f>IF(AQ221="7",BI221,0)</f>
        <v>0</v>
      </c>
      <c r="AF221" s="40">
        <f>IF(AQ221="2",BH221,0)</f>
        <v>0</v>
      </c>
      <c r="AG221" s="40">
        <f>IF(AQ221="2",BI221,0)</f>
        <v>0</v>
      </c>
      <c r="AH221" s="40">
        <f>IF(AQ221="0",BJ221,0)</f>
        <v>0</v>
      </c>
      <c r="AI221" s="39"/>
      <c r="AJ221" s="21">
        <f>IF(AN221=0,K221,0)</f>
        <v>0</v>
      </c>
      <c r="AK221" s="21">
        <f>IF(AN221=15,K221,0)</f>
        <v>0</v>
      </c>
      <c r="AL221" s="21">
        <f>IF(AN221=21,K221,0)</f>
        <v>0</v>
      </c>
      <c r="AN221" s="40">
        <v>15</v>
      </c>
      <c r="AO221" s="40">
        <f>H221*0.18346413327826</f>
        <v>0</v>
      </c>
      <c r="AP221" s="40">
        <f>H221*(1-0.18346413327826)</f>
        <v>0</v>
      </c>
      <c r="AQ221" s="41" t="s">
        <v>13</v>
      </c>
      <c r="AV221" s="40">
        <f>AW221+AX221</f>
        <v>0</v>
      </c>
      <c r="AW221" s="40">
        <f>G221*AO221</f>
        <v>0</v>
      </c>
      <c r="AX221" s="40">
        <f>G221*AP221</f>
        <v>0</v>
      </c>
      <c r="AY221" s="43" t="s">
        <v>538</v>
      </c>
      <c r="AZ221" s="43" t="s">
        <v>554</v>
      </c>
      <c r="BA221" s="39" t="s">
        <v>557</v>
      </c>
      <c r="BC221" s="40">
        <f>AW221+AX221</f>
        <v>0</v>
      </c>
      <c r="BD221" s="40">
        <f>H221/(100-BE221)*100</f>
        <v>0</v>
      </c>
      <c r="BE221" s="40">
        <v>0</v>
      </c>
      <c r="BF221" s="40">
        <f>221</f>
        <v>221</v>
      </c>
      <c r="BH221" s="21">
        <f>G221*AO221</f>
        <v>0</v>
      </c>
      <c r="BI221" s="21">
        <f>G221*AP221</f>
        <v>0</v>
      </c>
      <c r="BJ221" s="21">
        <f>G221*H221</f>
        <v>0</v>
      </c>
      <c r="BK221" s="21" t="s">
        <v>562</v>
      </c>
      <c r="BL221" s="40">
        <v>767</v>
      </c>
    </row>
    <row r="222" spans="1:64" x14ac:dyDescent="0.25">
      <c r="A222" s="5"/>
      <c r="C222" s="87" t="s">
        <v>419</v>
      </c>
      <c r="D222" s="88"/>
      <c r="E222" s="88"/>
      <c r="G222" s="22">
        <v>40</v>
      </c>
      <c r="L222" s="34"/>
      <c r="M222" s="5"/>
    </row>
    <row r="223" spans="1:64" x14ac:dyDescent="0.25">
      <c r="A223" s="4" t="s">
        <v>68</v>
      </c>
      <c r="B223" s="14" t="s">
        <v>171</v>
      </c>
      <c r="C223" s="85" t="s">
        <v>420</v>
      </c>
      <c r="D223" s="86"/>
      <c r="E223" s="86"/>
      <c r="F223" s="14" t="s">
        <v>497</v>
      </c>
      <c r="G223" s="21">
        <v>2</v>
      </c>
      <c r="H223" s="21">
        <v>0</v>
      </c>
      <c r="I223" s="21">
        <f>G223*AO223</f>
        <v>0</v>
      </c>
      <c r="J223" s="21">
        <f>G223*AP223</f>
        <v>0</v>
      </c>
      <c r="K223" s="21">
        <f>G223*H223</f>
        <v>0</v>
      </c>
      <c r="L223" s="33"/>
      <c r="M223" s="5"/>
      <c r="Z223" s="40">
        <f>IF(AQ223="5",BJ223,0)</f>
        <v>0</v>
      </c>
      <c r="AB223" s="40">
        <f>IF(AQ223="1",BH223,0)</f>
        <v>0</v>
      </c>
      <c r="AC223" s="40">
        <f>IF(AQ223="1",BI223,0)</f>
        <v>0</v>
      </c>
      <c r="AD223" s="40">
        <f>IF(AQ223="7",BH223,0)</f>
        <v>0</v>
      </c>
      <c r="AE223" s="40">
        <f>IF(AQ223="7",BI223,0)</f>
        <v>0</v>
      </c>
      <c r="AF223" s="40">
        <f>IF(AQ223="2",BH223,0)</f>
        <v>0</v>
      </c>
      <c r="AG223" s="40">
        <f>IF(AQ223="2",BI223,0)</f>
        <v>0</v>
      </c>
      <c r="AH223" s="40">
        <f>IF(AQ223="0",BJ223,0)</f>
        <v>0</v>
      </c>
      <c r="AI223" s="39"/>
      <c r="AJ223" s="21">
        <f>IF(AN223=0,K223,0)</f>
        <v>0</v>
      </c>
      <c r="AK223" s="21">
        <f>IF(AN223=15,K223,0)</f>
        <v>0</v>
      </c>
      <c r="AL223" s="21">
        <f>IF(AN223=21,K223,0)</f>
        <v>0</v>
      </c>
      <c r="AN223" s="40">
        <v>15</v>
      </c>
      <c r="AO223" s="40">
        <f>H223*0.75</f>
        <v>0</v>
      </c>
      <c r="AP223" s="40">
        <f>H223*(1-0.75)</f>
        <v>0</v>
      </c>
      <c r="AQ223" s="41" t="s">
        <v>13</v>
      </c>
      <c r="AV223" s="40">
        <f>AW223+AX223</f>
        <v>0</v>
      </c>
      <c r="AW223" s="40">
        <f>G223*AO223</f>
        <v>0</v>
      </c>
      <c r="AX223" s="40">
        <f>G223*AP223</f>
        <v>0</v>
      </c>
      <c r="AY223" s="43" t="s">
        <v>538</v>
      </c>
      <c r="AZ223" s="43" t="s">
        <v>554</v>
      </c>
      <c r="BA223" s="39" t="s">
        <v>557</v>
      </c>
      <c r="BC223" s="40">
        <f>AW223+AX223</f>
        <v>0</v>
      </c>
      <c r="BD223" s="40">
        <f>H223/(100-BE223)*100</f>
        <v>0</v>
      </c>
      <c r="BE223" s="40">
        <v>0</v>
      </c>
      <c r="BF223" s="40">
        <f>223</f>
        <v>223</v>
      </c>
      <c r="BH223" s="21">
        <f>G223*AO223</f>
        <v>0</v>
      </c>
      <c r="BI223" s="21">
        <f>G223*AP223</f>
        <v>0</v>
      </c>
      <c r="BJ223" s="21">
        <f>G223*H223</f>
        <v>0</v>
      </c>
      <c r="BK223" s="21" t="s">
        <v>562</v>
      </c>
      <c r="BL223" s="40">
        <v>767</v>
      </c>
    </row>
    <row r="224" spans="1:64" x14ac:dyDescent="0.25">
      <c r="A224" s="5"/>
      <c r="C224" s="87" t="s">
        <v>421</v>
      </c>
      <c r="D224" s="88"/>
      <c r="E224" s="88"/>
      <c r="G224" s="22">
        <v>2</v>
      </c>
      <c r="L224" s="34"/>
      <c r="M224" s="5"/>
    </row>
    <row r="225" spans="1:64" x14ac:dyDescent="0.25">
      <c r="A225" s="4" t="s">
        <v>69</v>
      </c>
      <c r="B225" s="14" t="s">
        <v>172</v>
      </c>
      <c r="C225" s="85" t="s">
        <v>422</v>
      </c>
      <c r="D225" s="86"/>
      <c r="E225" s="86"/>
      <c r="F225" s="14" t="s">
        <v>497</v>
      </c>
      <c r="G225" s="21">
        <v>24</v>
      </c>
      <c r="H225" s="21">
        <v>0</v>
      </c>
      <c r="I225" s="21">
        <f>G225*AO225</f>
        <v>0</v>
      </c>
      <c r="J225" s="21">
        <f>G225*AP225</f>
        <v>0</v>
      </c>
      <c r="K225" s="21">
        <f>G225*H225</f>
        <v>0</v>
      </c>
      <c r="L225" s="33" t="s">
        <v>517</v>
      </c>
      <c r="M225" s="5"/>
      <c r="Z225" s="40">
        <f>IF(AQ225="5",BJ225,0)</f>
        <v>0</v>
      </c>
      <c r="AB225" s="40">
        <f>IF(AQ225="1",BH225,0)</f>
        <v>0</v>
      </c>
      <c r="AC225" s="40">
        <f>IF(AQ225="1",BI225,0)</f>
        <v>0</v>
      </c>
      <c r="AD225" s="40">
        <f>IF(AQ225="7",BH225,0)</f>
        <v>0</v>
      </c>
      <c r="AE225" s="40">
        <f>IF(AQ225="7",BI225,0)</f>
        <v>0</v>
      </c>
      <c r="AF225" s="40">
        <f>IF(AQ225="2",BH225,0)</f>
        <v>0</v>
      </c>
      <c r="AG225" s="40">
        <f>IF(AQ225="2",BI225,0)</f>
        <v>0</v>
      </c>
      <c r="AH225" s="40">
        <f>IF(AQ225="0",BJ225,0)</f>
        <v>0</v>
      </c>
      <c r="AI225" s="39"/>
      <c r="AJ225" s="21">
        <f>IF(AN225=0,K225,0)</f>
        <v>0</v>
      </c>
      <c r="AK225" s="21">
        <f>IF(AN225=15,K225,0)</f>
        <v>0</v>
      </c>
      <c r="AL225" s="21">
        <f>IF(AN225=21,K225,0)</f>
        <v>0</v>
      </c>
      <c r="AN225" s="40">
        <v>15</v>
      </c>
      <c r="AO225" s="40">
        <f>H225*0</f>
        <v>0</v>
      </c>
      <c r="AP225" s="40">
        <f>H225*(1-0)</f>
        <v>0</v>
      </c>
      <c r="AQ225" s="41" t="s">
        <v>13</v>
      </c>
      <c r="AV225" s="40">
        <f>AW225+AX225</f>
        <v>0</v>
      </c>
      <c r="AW225" s="40">
        <f>G225*AO225</f>
        <v>0</v>
      </c>
      <c r="AX225" s="40">
        <f>G225*AP225</f>
        <v>0</v>
      </c>
      <c r="AY225" s="43" t="s">
        <v>538</v>
      </c>
      <c r="AZ225" s="43" t="s">
        <v>554</v>
      </c>
      <c r="BA225" s="39" t="s">
        <v>557</v>
      </c>
      <c r="BC225" s="40">
        <f>AW225+AX225</f>
        <v>0</v>
      </c>
      <c r="BD225" s="40">
        <f>H225/(100-BE225)*100</f>
        <v>0</v>
      </c>
      <c r="BE225" s="40">
        <v>0</v>
      </c>
      <c r="BF225" s="40">
        <f>225</f>
        <v>225</v>
      </c>
      <c r="BH225" s="21">
        <f>G225*AO225</f>
        <v>0</v>
      </c>
      <c r="BI225" s="21">
        <f>G225*AP225</f>
        <v>0</v>
      </c>
      <c r="BJ225" s="21">
        <f>G225*H225</f>
        <v>0</v>
      </c>
      <c r="BK225" s="21" t="s">
        <v>562</v>
      </c>
      <c r="BL225" s="40">
        <v>767</v>
      </c>
    </row>
    <row r="226" spans="1:64" x14ac:dyDescent="0.25">
      <c r="A226" s="5"/>
      <c r="C226" s="87" t="s">
        <v>423</v>
      </c>
      <c r="D226" s="88"/>
      <c r="E226" s="88"/>
      <c r="G226" s="22">
        <v>24</v>
      </c>
      <c r="L226" s="34"/>
      <c r="M226" s="5"/>
    </row>
    <row r="227" spans="1:64" x14ac:dyDescent="0.25">
      <c r="A227" s="7" t="s">
        <v>70</v>
      </c>
      <c r="B227" s="16" t="s">
        <v>173</v>
      </c>
      <c r="C227" s="100" t="s">
        <v>424</v>
      </c>
      <c r="D227" s="101"/>
      <c r="E227" s="101"/>
      <c r="F227" s="16" t="s">
        <v>497</v>
      </c>
      <c r="G227" s="23">
        <v>24</v>
      </c>
      <c r="H227" s="23">
        <v>0</v>
      </c>
      <c r="I227" s="23">
        <f>G227*AO227</f>
        <v>0</v>
      </c>
      <c r="J227" s="23">
        <f>G227*AP227</f>
        <v>0</v>
      </c>
      <c r="K227" s="23">
        <f>G227*H227</f>
        <v>0</v>
      </c>
      <c r="L227" s="36" t="s">
        <v>517</v>
      </c>
      <c r="M227" s="5"/>
      <c r="Z227" s="40">
        <f>IF(AQ227="5",BJ227,0)</f>
        <v>0</v>
      </c>
      <c r="AB227" s="40">
        <f>IF(AQ227="1",BH227,0)</f>
        <v>0</v>
      </c>
      <c r="AC227" s="40">
        <f>IF(AQ227="1",BI227,0)</f>
        <v>0</v>
      </c>
      <c r="AD227" s="40">
        <f>IF(AQ227="7",BH227,0)</f>
        <v>0</v>
      </c>
      <c r="AE227" s="40">
        <f>IF(AQ227="7",BI227,0)</f>
        <v>0</v>
      </c>
      <c r="AF227" s="40">
        <f>IF(AQ227="2",BH227,0)</f>
        <v>0</v>
      </c>
      <c r="AG227" s="40">
        <f>IF(AQ227="2",BI227,0)</f>
        <v>0</v>
      </c>
      <c r="AH227" s="40">
        <f>IF(AQ227="0",BJ227,0)</f>
        <v>0</v>
      </c>
      <c r="AI227" s="39"/>
      <c r="AJ227" s="23">
        <f>IF(AN227=0,K227,0)</f>
        <v>0</v>
      </c>
      <c r="AK227" s="23">
        <f>IF(AN227=15,K227,0)</f>
        <v>0</v>
      </c>
      <c r="AL227" s="23">
        <f>IF(AN227=21,K227,0)</f>
        <v>0</v>
      </c>
      <c r="AN227" s="40">
        <v>15</v>
      </c>
      <c r="AO227" s="40">
        <f>H227*1</f>
        <v>0</v>
      </c>
      <c r="AP227" s="40">
        <f>H227*(1-1)</f>
        <v>0</v>
      </c>
      <c r="AQ227" s="42" t="s">
        <v>13</v>
      </c>
      <c r="AV227" s="40">
        <f>AW227+AX227</f>
        <v>0</v>
      </c>
      <c r="AW227" s="40">
        <f>G227*AO227</f>
        <v>0</v>
      </c>
      <c r="AX227" s="40">
        <f>G227*AP227</f>
        <v>0</v>
      </c>
      <c r="AY227" s="43" t="s">
        <v>538</v>
      </c>
      <c r="AZ227" s="43" t="s">
        <v>554</v>
      </c>
      <c r="BA227" s="39" t="s">
        <v>557</v>
      </c>
      <c r="BC227" s="40">
        <f>AW227+AX227</f>
        <v>0</v>
      </c>
      <c r="BD227" s="40">
        <f>H227/(100-BE227)*100</f>
        <v>0</v>
      </c>
      <c r="BE227" s="40">
        <v>0</v>
      </c>
      <c r="BF227" s="40">
        <f>227</f>
        <v>227</v>
      </c>
      <c r="BH227" s="23">
        <f>G227*AO227</f>
        <v>0</v>
      </c>
      <c r="BI227" s="23">
        <f>G227*AP227</f>
        <v>0</v>
      </c>
      <c r="BJ227" s="23">
        <f>G227*H227</f>
        <v>0</v>
      </c>
      <c r="BK227" s="23" t="s">
        <v>563</v>
      </c>
      <c r="BL227" s="40">
        <v>767</v>
      </c>
    </row>
    <row r="228" spans="1:64" x14ac:dyDescent="0.25">
      <c r="A228" s="5"/>
      <c r="C228" s="87" t="s">
        <v>423</v>
      </c>
      <c r="D228" s="88"/>
      <c r="E228" s="88"/>
      <c r="G228" s="22">
        <v>24</v>
      </c>
      <c r="L228" s="34"/>
      <c r="M228" s="5"/>
    </row>
    <row r="229" spans="1:64" x14ac:dyDescent="0.25">
      <c r="A229" s="6"/>
      <c r="B229" s="15" t="s">
        <v>174</v>
      </c>
      <c r="C229" s="83" t="s">
        <v>425</v>
      </c>
      <c r="D229" s="84"/>
      <c r="E229" s="84"/>
      <c r="F229" s="19" t="s">
        <v>6</v>
      </c>
      <c r="G229" s="19" t="s">
        <v>6</v>
      </c>
      <c r="H229" s="19" t="s">
        <v>6</v>
      </c>
      <c r="I229" s="46">
        <f>SUM(I230:I230)</f>
        <v>0</v>
      </c>
      <c r="J229" s="46">
        <f>SUM(J230:J230)</f>
        <v>0</v>
      </c>
      <c r="K229" s="46">
        <f>SUM(K230:K230)</f>
        <v>0</v>
      </c>
      <c r="L229" s="35"/>
      <c r="M229" s="5"/>
      <c r="AI229" s="39"/>
      <c r="AS229" s="46">
        <f>SUM(AJ230:AJ230)</f>
        <v>0</v>
      </c>
      <c r="AT229" s="46">
        <f>SUM(AK230:AK230)</f>
        <v>0</v>
      </c>
      <c r="AU229" s="46">
        <f>SUM(AL230:AL230)</f>
        <v>0</v>
      </c>
    </row>
    <row r="230" spans="1:64" x14ac:dyDescent="0.25">
      <c r="A230" s="4" t="s">
        <v>71</v>
      </c>
      <c r="B230" s="14" t="s">
        <v>175</v>
      </c>
      <c r="C230" s="85" t="s">
        <v>426</v>
      </c>
      <c r="D230" s="86"/>
      <c r="E230" s="86"/>
      <c r="F230" s="14" t="s">
        <v>495</v>
      </c>
      <c r="G230" s="21">
        <v>373.13799999999998</v>
      </c>
      <c r="H230" s="21">
        <v>0</v>
      </c>
      <c r="I230" s="21">
        <f>G230*AO230</f>
        <v>0</v>
      </c>
      <c r="J230" s="21">
        <f>G230*AP230</f>
        <v>0</v>
      </c>
      <c r="K230" s="21">
        <f>G230*H230</f>
        <v>0</v>
      </c>
      <c r="L230" s="33" t="s">
        <v>517</v>
      </c>
      <c r="M230" s="5"/>
      <c r="Z230" s="40">
        <f>IF(AQ230="5",BJ230,0)</f>
        <v>0</v>
      </c>
      <c r="AB230" s="40">
        <f>IF(AQ230="1",BH230,0)</f>
        <v>0</v>
      </c>
      <c r="AC230" s="40">
        <f>IF(AQ230="1",BI230,0)</f>
        <v>0</v>
      </c>
      <c r="AD230" s="40">
        <f>IF(AQ230="7",BH230,0)</f>
        <v>0</v>
      </c>
      <c r="AE230" s="40">
        <f>IF(AQ230="7",BI230,0)</f>
        <v>0</v>
      </c>
      <c r="AF230" s="40">
        <f>IF(AQ230="2",BH230,0)</f>
        <v>0</v>
      </c>
      <c r="AG230" s="40">
        <f>IF(AQ230="2",BI230,0)</f>
        <v>0</v>
      </c>
      <c r="AH230" s="40">
        <f>IF(AQ230="0",BJ230,0)</f>
        <v>0</v>
      </c>
      <c r="AI230" s="39"/>
      <c r="AJ230" s="21">
        <f>IF(AN230=0,K230,0)</f>
        <v>0</v>
      </c>
      <c r="AK230" s="21">
        <f>IF(AN230=15,K230,0)</f>
        <v>0</v>
      </c>
      <c r="AL230" s="21">
        <f>IF(AN230=21,K230,0)</f>
        <v>0</v>
      </c>
      <c r="AN230" s="40">
        <v>15</v>
      </c>
      <c r="AO230" s="40">
        <f>H230*0.0636843857997171</f>
        <v>0</v>
      </c>
      <c r="AP230" s="40">
        <f>H230*(1-0.0636843857997171)</f>
        <v>0</v>
      </c>
      <c r="AQ230" s="41" t="s">
        <v>13</v>
      </c>
      <c r="AV230" s="40">
        <f>AW230+AX230</f>
        <v>0</v>
      </c>
      <c r="AW230" s="40">
        <f>G230*AO230</f>
        <v>0</v>
      </c>
      <c r="AX230" s="40">
        <f>G230*AP230</f>
        <v>0</v>
      </c>
      <c r="AY230" s="43" t="s">
        <v>539</v>
      </c>
      <c r="AZ230" s="43" t="s">
        <v>555</v>
      </c>
      <c r="BA230" s="39" t="s">
        <v>557</v>
      </c>
      <c r="BC230" s="40">
        <f>AW230+AX230</f>
        <v>0</v>
      </c>
      <c r="BD230" s="40">
        <f>H230/(100-BE230)*100</f>
        <v>0</v>
      </c>
      <c r="BE230" s="40">
        <v>0</v>
      </c>
      <c r="BF230" s="40">
        <f>230</f>
        <v>230</v>
      </c>
      <c r="BH230" s="21">
        <f>G230*AO230</f>
        <v>0</v>
      </c>
      <c r="BI230" s="21">
        <f>G230*AP230</f>
        <v>0</v>
      </c>
      <c r="BJ230" s="21">
        <f>G230*H230</f>
        <v>0</v>
      </c>
      <c r="BK230" s="21" t="s">
        <v>562</v>
      </c>
      <c r="BL230" s="40">
        <v>784</v>
      </c>
    </row>
    <row r="231" spans="1:64" x14ac:dyDescent="0.25">
      <c r="A231" s="5"/>
      <c r="C231" s="87" t="s">
        <v>239</v>
      </c>
      <c r="D231" s="88"/>
      <c r="E231" s="88"/>
      <c r="G231" s="22">
        <v>250</v>
      </c>
      <c r="L231" s="34"/>
      <c r="M231" s="5"/>
    </row>
    <row r="232" spans="1:64" x14ac:dyDescent="0.25">
      <c r="A232" s="5"/>
      <c r="C232" s="87" t="s">
        <v>427</v>
      </c>
      <c r="D232" s="88"/>
      <c r="E232" s="88"/>
      <c r="G232" s="22">
        <v>123.13800000000001</v>
      </c>
      <c r="L232" s="34"/>
      <c r="M232" s="5"/>
    </row>
    <row r="233" spans="1:64" x14ac:dyDescent="0.25">
      <c r="A233" s="6"/>
      <c r="B233" s="15" t="s">
        <v>97</v>
      </c>
      <c r="C233" s="83" t="s">
        <v>428</v>
      </c>
      <c r="D233" s="84"/>
      <c r="E233" s="84"/>
      <c r="F233" s="19" t="s">
        <v>6</v>
      </c>
      <c r="G233" s="19" t="s">
        <v>6</v>
      </c>
      <c r="H233" s="19" t="s">
        <v>6</v>
      </c>
      <c r="I233" s="46">
        <f>SUM(I234:I236)</f>
        <v>0</v>
      </c>
      <c r="J233" s="46">
        <f>SUM(J234:J236)</f>
        <v>0</v>
      </c>
      <c r="K233" s="46">
        <f>SUM(K234:K236)</f>
        <v>0</v>
      </c>
      <c r="L233" s="35"/>
      <c r="M233" s="5"/>
      <c r="AI233" s="39"/>
      <c r="AS233" s="46">
        <f>SUM(AJ234:AJ236)</f>
        <v>0</v>
      </c>
      <c r="AT233" s="46">
        <f>SUM(AK234:AK236)</f>
        <v>0</v>
      </c>
      <c r="AU233" s="46">
        <f>SUM(AL234:AL236)</f>
        <v>0</v>
      </c>
    </row>
    <row r="234" spans="1:64" x14ac:dyDescent="0.25">
      <c r="A234" s="4" t="s">
        <v>72</v>
      </c>
      <c r="B234" s="14" t="s">
        <v>176</v>
      </c>
      <c r="C234" s="85" t="s">
        <v>429</v>
      </c>
      <c r="D234" s="86"/>
      <c r="E234" s="86"/>
      <c r="F234" s="14" t="s">
        <v>496</v>
      </c>
      <c r="G234" s="21">
        <v>90</v>
      </c>
      <c r="H234" s="21">
        <v>0</v>
      </c>
      <c r="I234" s="21">
        <f>G234*AO234</f>
        <v>0</v>
      </c>
      <c r="J234" s="21">
        <f>G234*AP234</f>
        <v>0</v>
      </c>
      <c r="K234" s="21">
        <f>G234*H234</f>
        <v>0</v>
      </c>
      <c r="L234" s="33" t="s">
        <v>517</v>
      </c>
      <c r="M234" s="5"/>
      <c r="Z234" s="40">
        <f>IF(AQ234="5",BJ234,0)</f>
        <v>0</v>
      </c>
      <c r="AB234" s="40">
        <f>IF(AQ234="1",BH234,0)</f>
        <v>0</v>
      </c>
      <c r="AC234" s="40">
        <f>IF(AQ234="1",BI234,0)</f>
        <v>0</v>
      </c>
      <c r="AD234" s="40">
        <f>IF(AQ234="7",BH234,0)</f>
        <v>0</v>
      </c>
      <c r="AE234" s="40">
        <f>IF(AQ234="7",BI234,0)</f>
        <v>0</v>
      </c>
      <c r="AF234" s="40">
        <f>IF(AQ234="2",BH234,0)</f>
        <v>0</v>
      </c>
      <c r="AG234" s="40">
        <f>IF(AQ234="2",BI234,0)</f>
        <v>0</v>
      </c>
      <c r="AH234" s="40">
        <f>IF(AQ234="0",BJ234,0)</f>
        <v>0</v>
      </c>
      <c r="AI234" s="39"/>
      <c r="AJ234" s="21">
        <f>IF(AN234=0,K234,0)</f>
        <v>0</v>
      </c>
      <c r="AK234" s="21">
        <f>IF(AN234=15,K234,0)</f>
        <v>0</v>
      </c>
      <c r="AL234" s="21">
        <f>IF(AN234=21,K234,0)</f>
        <v>0</v>
      </c>
      <c r="AN234" s="40">
        <v>15</v>
      </c>
      <c r="AO234" s="40">
        <f>H234*0.642375696937295</f>
        <v>0</v>
      </c>
      <c r="AP234" s="40">
        <f>H234*(1-0.642375696937295)</f>
        <v>0</v>
      </c>
      <c r="AQ234" s="41" t="s">
        <v>7</v>
      </c>
      <c r="AV234" s="40">
        <f>AW234+AX234</f>
        <v>0</v>
      </c>
      <c r="AW234" s="40">
        <f>G234*AO234</f>
        <v>0</v>
      </c>
      <c r="AX234" s="40">
        <f>G234*AP234</f>
        <v>0</v>
      </c>
      <c r="AY234" s="43" t="s">
        <v>540</v>
      </c>
      <c r="AZ234" s="43" t="s">
        <v>556</v>
      </c>
      <c r="BA234" s="39" t="s">
        <v>557</v>
      </c>
      <c r="BC234" s="40">
        <f>AW234+AX234</f>
        <v>0</v>
      </c>
      <c r="BD234" s="40">
        <f>H234/(100-BE234)*100</f>
        <v>0</v>
      </c>
      <c r="BE234" s="40">
        <v>0</v>
      </c>
      <c r="BF234" s="40">
        <f>234</f>
        <v>234</v>
      </c>
      <c r="BH234" s="21">
        <f>G234*AO234</f>
        <v>0</v>
      </c>
      <c r="BI234" s="21">
        <f>G234*AP234</f>
        <v>0</v>
      </c>
      <c r="BJ234" s="21">
        <f>G234*H234</f>
        <v>0</v>
      </c>
      <c r="BK234" s="21" t="s">
        <v>562</v>
      </c>
      <c r="BL234" s="40">
        <v>91</v>
      </c>
    </row>
    <row r="235" spans="1:64" x14ac:dyDescent="0.25">
      <c r="A235" s="5"/>
      <c r="C235" s="87" t="s">
        <v>430</v>
      </c>
      <c r="D235" s="88"/>
      <c r="E235" s="88"/>
      <c r="G235" s="22">
        <v>90</v>
      </c>
      <c r="L235" s="34"/>
      <c r="M235" s="5"/>
    </row>
    <row r="236" spans="1:64" x14ac:dyDescent="0.25">
      <c r="A236" s="7" t="s">
        <v>73</v>
      </c>
      <c r="B236" s="16" t="s">
        <v>177</v>
      </c>
      <c r="C236" s="100" t="s">
        <v>431</v>
      </c>
      <c r="D236" s="101"/>
      <c r="E236" s="101"/>
      <c r="F236" s="16" t="s">
        <v>497</v>
      </c>
      <c r="G236" s="23">
        <v>95</v>
      </c>
      <c r="H236" s="23">
        <v>0</v>
      </c>
      <c r="I236" s="23">
        <f>G236*AO236</f>
        <v>0</v>
      </c>
      <c r="J236" s="23">
        <f>G236*AP236</f>
        <v>0</v>
      </c>
      <c r="K236" s="23">
        <f>G236*H236</f>
        <v>0</v>
      </c>
      <c r="L236" s="36" t="s">
        <v>517</v>
      </c>
      <c r="M236" s="5"/>
      <c r="Z236" s="40">
        <f>IF(AQ236="5",BJ236,0)</f>
        <v>0</v>
      </c>
      <c r="AB236" s="40">
        <f>IF(AQ236="1",BH236,0)</f>
        <v>0</v>
      </c>
      <c r="AC236" s="40">
        <f>IF(AQ236="1",BI236,0)</f>
        <v>0</v>
      </c>
      <c r="AD236" s="40">
        <f>IF(AQ236="7",BH236,0)</f>
        <v>0</v>
      </c>
      <c r="AE236" s="40">
        <f>IF(AQ236="7",BI236,0)</f>
        <v>0</v>
      </c>
      <c r="AF236" s="40">
        <f>IF(AQ236="2",BH236,0)</f>
        <v>0</v>
      </c>
      <c r="AG236" s="40">
        <f>IF(AQ236="2",BI236,0)</f>
        <v>0</v>
      </c>
      <c r="AH236" s="40">
        <f>IF(AQ236="0",BJ236,0)</f>
        <v>0</v>
      </c>
      <c r="AI236" s="39"/>
      <c r="AJ236" s="23">
        <f>IF(AN236=0,K236,0)</f>
        <v>0</v>
      </c>
      <c r="AK236" s="23">
        <f>IF(AN236=15,K236,0)</f>
        <v>0</v>
      </c>
      <c r="AL236" s="23">
        <f>IF(AN236=21,K236,0)</f>
        <v>0</v>
      </c>
      <c r="AN236" s="40">
        <v>15</v>
      </c>
      <c r="AO236" s="40">
        <f>H236*1</f>
        <v>0</v>
      </c>
      <c r="AP236" s="40">
        <f>H236*(1-1)</f>
        <v>0</v>
      </c>
      <c r="AQ236" s="42" t="s">
        <v>7</v>
      </c>
      <c r="AV236" s="40">
        <f>AW236+AX236</f>
        <v>0</v>
      </c>
      <c r="AW236" s="40">
        <f>G236*AO236</f>
        <v>0</v>
      </c>
      <c r="AX236" s="40">
        <f>G236*AP236</f>
        <v>0</v>
      </c>
      <c r="AY236" s="43" t="s">
        <v>540</v>
      </c>
      <c r="AZ236" s="43" t="s">
        <v>556</v>
      </c>
      <c r="BA236" s="39" t="s">
        <v>557</v>
      </c>
      <c r="BC236" s="40">
        <f>AW236+AX236</f>
        <v>0</v>
      </c>
      <c r="BD236" s="40">
        <f>H236/(100-BE236)*100</f>
        <v>0</v>
      </c>
      <c r="BE236" s="40">
        <v>0</v>
      </c>
      <c r="BF236" s="40">
        <f>236</f>
        <v>236</v>
      </c>
      <c r="BH236" s="23">
        <f>G236*AO236</f>
        <v>0</v>
      </c>
      <c r="BI236" s="23">
        <f>G236*AP236</f>
        <v>0</v>
      </c>
      <c r="BJ236" s="23">
        <f>G236*H236</f>
        <v>0</v>
      </c>
      <c r="BK236" s="23" t="s">
        <v>563</v>
      </c>
      <c r="BL236" s="40">
        <v>91</v>
      </c>
    </row>
    <row r="237" spans="1:64" x14ac:dyDescent="0.25">
      <c r="A237" s="5"/>
      <c r="C237" s="87" t="s">
        <v>432</v>
      </c>
      <c r="D237" s="88"/>
      <c r="E237" s="88"/>
      <c r="G237" s="22">
        <v>90</v>
      </c>
      <c r="L237" s="34"/>
      <c r="M237" s="5"/>
    </row>
    <row r="238" spans="1:64" x14ac:dyDescent="0.25">
      <c r="A238" s="5"/>
      <c r="C238" s="87" t="s">
        <v>433</v>
      </c>
      <c r="D238" s="88"/>
      <c r="E238" s="88"/>
      <c r="G238" s="22">
        <v>4.5</v>
      </c>
      <c r="L238" s="34"/>
      <c r="M238" s="5"/>
    </row>
    <row r="239" spans="1:64" x14ac:dyDescent="0.25">
      <c r="A239" s="5"/>
      <c r="C239" s="87" t="s">
        <v>341</v>
      </c>
      <c r="D239" s="88"/>
      <c r="E239" s="88"/>
      <c r="G239" s="22">
        <v>0.5</v>
      </c>
      <c r="L239" s="34"/>
      <c r="M239" s="5"/>
    </row>
    <row r="240" spans="1:64" x14ac:dyDescent="0.25">
      <c r="A240" s="6"/>
      <c r="B240" s="15" t="s">
        <v>100</v>
      </c>
      <c r="C240" s="83" t="s">
        <v>434</v>
      </c>
      <c r="D240" s="84"/>
      <c r="E240" s="84"/>
      <c r="F240" s="19" t="s">
        <v>6</v>
      </c>
      <c r="G240" s="19" t="s">
        <v>6</v>
      </c>
      <c r="H240" s="19" t="s">
        <v>6</v>
      </c>
      <c r="I240" s="46">
        <f>SUM(I241:I251)</f>
        <v>0</v>
      </c>
      <c r="J240" s="46">
        <f>SUM(J241:J251)</f>
        <v>0</v>
      </c>
      <c r="K240" s="46">
        <f>SUM(K241:K251)</f>
        <v>0</v>
      </c>
      <c r="L240" s="35"/>
      <c r="M240" s="5"/>
      <c r="AI240" s="39"/>
      <c r="AS240" s="46">
        <f>SUM(AJ241:AJ251)</f>
        <v>0</v>
      </c>
      <c r="AT240" s="46">
        <f>SUM(AK241:AK251)</f>
        <v>0</v>
      </c>
      <c r="AU240" s="46">
        <f>SUM(AL241:AL251)</f>
        <v>0</v>
      </c>
    </row>
    <row r="241" spans="1:64" x14ac:dyDescent="0.25">
      <c r="A241" s="4" t="s">
        <v>74</v>
      </c>
      <c r="B241" s="14" t="s">
        <v>178</v>
      </c>
      <c r="C241" s="85" t="s">
        <v>435</v>
      </c>
      <c r="D241" s="86"/>
      <c r="E241" s="86"/>
      <c r="F241" s="14" t="s">
        <v>495</v>
      </c>
      <c r="G241" s="21">
        <v>944.32</v>
      </c>
      <c r="H241" s="21">
        <v>0</v>
      </c>
      <c r="I241" s="21">
        <f>G241*AO241</f>
        <v>0</v>
      </c>
      <c r="J241" s="21">
        <f>G241*AP241</f>
        <v>0</v>
      </c>
      <c r="K241" s="21">
        <f>G241*H241</f>
        <v>0</v>
      </c>
      <c r="L241" s="33" t="s">
        <v>517</v>
      </c>
      <c r="M241" s="5"/>
      <c r="Z241" s="40">
        <f>IF(AQ241="5",BJ241,0)</f>
        <v>0</v>
      </c>
      <c r="AB241" s="40">
        <f>IF(AQ241="1",BH241,0)</f>
        <v>0</v>
      </c>
      <c r="AC241" s="40">
        <f>IF(AQ241="1",BI241,0)</f>
        <v>0</v>
      </c>
      <c r="AD241" s="40">
        <f>IF(AQ241="7",BH241,0)</f>
        <v>0</v>
      </c>
      <c r="AE241" s="40">
        <f>IF(AQ241="7",BI241,0)</f>
        <v>0</v>
      </c>
      <c r="AF241" s="40">
        <f>IF(AQ241="2",BH241,0)</f>
        <v>0</v>
      </c>
      <c r="AG241" s="40">
        <f>IF(AQ241="2",BI241,0)</f>
        <v>0</v>
      </c>
      <c r="AH241" s="40">
        <f>IF(AQ241="0",BJ241,0)</f>
        <v>0</v>
      </c>
      <c r="AI241" s="39"/>
      <c r="AJ241" s="21">
        <f>IF(AN241=0,K241,0)</f>
        <v>0</v>
      </c>
      <c r="AK241" s="21">
        <f>IF(AN241=15,K241,0)</f>
        <v>0</v>
      </c>
      <c r="AL241" s="21">
        <f>IF(AN241=21,K241,0)</f>
        <v>0</v>
      </c>
      <c r="AN241" s="40">
        <v>15</v>
      </c>
      <c r="AO241" s="40">
        <f>H241*0.000318471316098767</f>
        <v>0</v>
      </c>
      <c r="AP241" s="40">
        <f>H241*(1-0.000318471316098767)</f>
        <v>0</v>
      </c>
      <c r="AQ241" s="41" t="s">
        <v>7</v>
      </c>
      <c r="AV241" s="40">
        <f>AW241+AX241</f>
        <v>0</v>
      </c>
      <c r="AW241" s="40">
        <f>G241*AO241</f>
        <v>0</v>
      </c>
      <c r="AX241" s="40">
        <f>G241*AP241</f>
        <v>0</v>
      </c>
      <c r="AY241" s="43" t="s">
        <v>541</v>
      </c>
      <c r="AZ241" s="43" t="s">
        <v>556</v>
      </c>
      <c r="BA241" s="39" t="s">
        <v>557</v>
      </c>
      <c r="BC241" s="40">
        <f>AW241+AX241</f>
        <v>0</v>
      </c>
      <c r="BD241" s="40">
        <f>H241/(100-BE241)*100</f>
        <v>0</v>
      </c>
      <c r="BE241" s="40">
        <v>0</v>
      </c>
      <c r="BF241" s="40">
        <f>241</f>
        <v>241</v>
      </c>
      <c r="BH241" s="21">
        <f>G241*AO241</f>
        <v>0</v>
      </c>
      <c r="BI241" s="21">
        <f>G241*AP241</f>
        <v>0</v>
      </c>
      <c r="BJ241" s="21">
        <f>G241*H241</f>
        <v>0</v>
      </c>
      <c r="BK241" s="21" t="s">
        <v>562</v>
      </c>
      <c r="BL241" s="40">
        <v>94</v>
      </c>
    </row>
    <row r="242" spans="1:64" x14ac:dyDescent="0.25">
      <c r="A242" s="5"/>
      <c r="C242" s="87" t="s">
        <v>436</v>
      </c>
      <c r="D242" s="88"/>
      <c r="E242" s="88"/>
      <c r="G242" s="22">
        <v>944.32</v>
      </c>
      <c r="L242" s="34"/>
      <c r="M242" s="5"/>
    </row>
    <row r="243" spans="1:64" x14ac:dyDescent="0.25">
      <c r="A243" s="4" t="s">
        <v>75</v>
      </c>
      <c r="B243" s="14" t="s">
        <v>179</v>
      </c>
      <c r="C243" s="85" t="s">
        <v>437</v>
      </c>
      <c r="D243" s="86"/>
      <c r="E243" s="86"/>
      <c r="F243" s="14" t="s">
        <v>495</v>
      </c>
      <c r="G243" s="21">
        <v>2832.96</v>
      </c>
      <c r="H243" s="21">
        <v>0</v>
      </c>
      <c r="I243" s="21">
        <f>G243*AO243</f>
        <v>0</v>
      </c>
      <c r="J243" s="21">
        <f>G243*AP243</f>
        <v>0</v>
      </c>
      <c r="K243" s="21">
        <f>G243*H243</f>
        <v>0</v>
      </c>
      <c r="L243" s="33" t="s">
        <v>517</v>
      </c>
      <c r="M243" s="5"/>
      <c r="Z243" s="40">
        <f>IF(AQ243="5",BJ243,0)</f>
        <v>0</v>
      </c>
      <c r="AB243" s="40">
        <f>IF(AQ243="1",BH243,0)</f>
        <v>0</v>
      </c>
      <c r="AC243" s="40">
        <f>IF(AQ243="1",BI243,0)</f>
        <v>0</v>
      </c>
      <c r="AD243" s="40">
        <f>IF(AQ243="7",BH243,0)</f>
        <v>0</v>
      </c>
      <c r="AE243" s="40">
        <f>IF(AQ243="7",BI243,0)</f>
        <v>0</v>
      </c>
      <c r="AF243" s="40">
        <f>IF(AQ243="2",BH243,0)</f>
        <v>0</v>
      </c>
      <c r="AG243" s="40">
        <f>IF(AQ243="2",BI243,0)</f>
        <v>0</v>
      </c>
      <c r="AH243" s="40">
        <f>IF(AQ243="0",BJ243,0)</f>
        <v>0</v>
      </c>
      <c r="AI243" s="39"/>
      <c r="AJ243" s="21">
        <f>IF(AN243=0,K243,0)</f>
        <v>0</v>
      </c>
      <c r="AK243" s="21">
        <f>IF(AN243=15,K243,0)</f>
        <v>0</v>
      </c>
      <c r="AL243" s="21">
        <f>IF(AN243=21,K243,0)</f>
        <v>0</v>
      </c>
      <c r="AN243" s="40">
        <v>15</v>
      </c>
      <c r="AO243" s="40">
        <f>H243*0.910219025006731</f>
        <v>0</v>
      </c>
      <c r="AP243" s="40">
        <f>H243*(1-0.910219025006731)</f>
        <v>0</v>
      </c>
      <c r="AQ243" s="41" t="s">
        <v>7</v>
      </c>
      <c r="AV243" s="40">
        <f>AW243+AX243</f>
        <v>0</v>
      </c>
      <c r="AW243" s="40">
        <f>G243*AO243</f>
        <v>0</v>
      </c>
      <c r="AX243" s="40">
        <f>G243*AP243</f>
        <v>0</v>
      </c>
      <c r="AY243" s="43" t="s">
        <v>541</v>
      </c>
      <c r="AZ243" s="43" t="s">
        <v>556</v>
      </c>
      <c r="BA243" s="39" t="s">
        <v>557</v>
      </c>
      <c r="BC243" s="40">
        <f>AW243+AX243</f>
        <v>0</v>
      </c>
      <c r="BD243" s="40">
        <f>H243/(100-BE243)*100</f>
        <v>0</v>
      </c>
      <c r="BE243" s="40">
        <v>0</v>
      </c>
      <c r="BF243" s="40">
        <f>243</f>
        <v>243</v>
      </c>
      <c r="BH243" s="21">
        <f>G243*AO243</f>
        <v>0</v>
      </c>
      <c r="BI243" s="21">
        <f>G243*AP243</f>
        <v>0</v>
      </c>
      <c r="BJ243" s="21">
        <f>G243*H243</f>
        <v>0</v>
      </c>
      <c r="BK243" s="21" t="s">
        <v>562</v>
      </c>
      <c r="BL243" s="40">
        <v>94</v>
      </c>
    </row>
    <row r="244" spans="1:64" x14ac:dyDescent="0.25">
      <c r="A244" s="5"/>
      <c r="C244" s="87" t="s">
        <v>438</v>
      </c>
      <c r="D244" s="88"/>
      <c r="E244" s="88"/>
      <c r="G244" s="22">
        <v>2832.96</v>
      </c>
      <c r="L244" s="34"/>
      <c r="M244" s="5"/>
    </row>
    <row r="245" spans="1:64" x14ac:dyDescent="0.25">
      <c r="A245" s="4" t="s">
        <v>76</v>
      </c>
      <c r="B245" s="14" t="s">
        <v>180</v>
      </c>
      <c r="C245" s="85" t="s">
        <v>439</v>
      </c>
      <c r="D245" s="86"/>
      <c r="E245" s="86"/>
      <c r="F245" s="14" t="s">
        <v>495</v>
      </c>
      <c r="G245" s="21">
        <v>944.32</v>
      </c>
      <c r="H245" s="21">
        <v>0</v>
      </c>
      <c r="I245" s="21">
        <f>G245*AO245</f>
        <v>0</v>
      </c>
      <c r="J245" s="21">
        <f>G245*AP245</f>
        <v>0</v>
      </c>
      <c r="K245" s="21">
        <f>G245*H245</f>
        <v>0</v>
      </c>
      <c r="L245" s="33" t="s">
        <v>517</v>
      </c>
      <c r="M245" s="5"/>
      <c r="Z245" s="40">
        <f>IF(AQ245="5",BJ245,0)</f>
        <v>0</v>
      </c>
      <c r="AB245" s="40">
        <f>IF(AQ245="1",BH245,0)</f>
        <v>0</v>
      </c>
      <c r="AC245" s="40">
        <f>IF(AQ245="1",BI245,0)</f>
        <v>0</v>
      </c>
      <c r="AD245" s="40">
        <f>IF(AQ245="7",BH245,0)</f>
        <v>0</v>
      </c>
      <c r="AE245" s="40">
        <f>IF(AQ245="7",BI245,0)</f>
        <v>0</v>
      </c>
      <c r="AF245" s="40">
        <f>IF(AQ245="2",BH245,0)</f>
        <v>0</v>
      </c>
      <c r="AG245" s="40">
        <f>IF(AQ245="2",BI245,0)</f>
        <v>0</v>
      </c>
      <c r="AH245" s="40">
        <f>IF(AQ245="0",BJ245,0)</f>
        <v>0</v>
      </c>
      <c r="AI245" s="39"/>
      <c r="AJ245" s="21">
        <f>IF(AN245=0,K245,0)</f>
        <v>0</v>
      </c>
      <c r="AK245" s="21">
        <f>IF(AN245=15,K245,0)</f>
        <v>0</v>
      </c>
      <c r="AL245" s="21">
        <f>IF(AN245=21,K245,0)</f>
        <v>0</v>
      </c>
      <c r="AN245" s="40">
        <v>15</v>
      </c>
      <c r="AO245" s="40">
        <f>H245*0</f>
        <v>0</v>
      </c>
      <c r="AP245" s="40">
        <f>H245*(1-0)</f>
        <v>0</v>
      </c>
      <c r="AQ245" s="41" t="s">
        <v>7</v>
      </c>
      <c r="AV245" s="40">
        <f>AW245+AX245</f>
        <v>0</v>
      </c>
      <c r="AW245" s="40">
        <f>G245*AO245</f>
        <v>0</v>
      </c>
      <c r="AX245" s="40">
        <f>G245*AP245</f>
        <v>0</v>
      </c>
      <c r="AY245" s="43" t="s">
        <v>541</v>
      </c>
      <c r="AZ245" s="43" t="s">
        <v>556</v>
      </c>
      <c r="BA245" s="39" t="s">
        <v>557</v>
      </c>
      <c r="BC245" s="40">
        <f>AW245+AX245</f>
        <v>0</v>
      </c>
      <c r="BD245" s="40">
        <f>H245/(100-BE245)*100</f>
        <v>0</v>
      </c>
      <c r="BE245" s="40">
        <v>0</v>
      </c>
      <c r="BF245" s="40">
        <f>245</f>
        <v>245</v>
      </c>
      <c r="BH245" s="21">
        <f>G245*AO245</f>
        <v>0</v>
      </c>
      <c r="BI245" s="21">
        <f>G245*AP245</f>
        <v>0</v>
      </c>
      <c r="BJ245" s="21">
        <f>G245*H245</f>
        <v>0</v>
      </c>
      <c r="BK245" s="21" t="s">
        <v>562</v>
      </c>
      <c r="BL245" s="40">
        <v>94</v>
      </c>
    </row>
    <row r="246" spans="1:64" x14ac:dyDescent="0.25">
      <c r="A246" s="5"/>
      <c r="C246" s="87" t="s">
        <v>440</v>
      </c>
      <c r="D246" s="88"/>
      <c r="E246" s="88"/>
      <c r="G246" s="22">
        <v>944.32</v>
      </c>
      <c r="L246" s="34"/>
      <c r="M246" s="5"/>
    </row>
    <row r="247" spans="1:64" x14ac:dyDescent="0.25">
      <c r="A247" s="4" t="s">
        <v>77</v>
      </c>
      <c r="B247" s="14" t="s">
        <v>181</v>
      </c>
      <c r="C247" s="85" t="s">
        <v>441</v>
      </c>
      <c r="D247" s="86"/>
      <c r="E247" s="86"/>
      <c r="F247" s="14" t="s">
        <v>495</v>
      </c>
      <c r="G247" s="21">
        <v>944.32</v>
      </c>
      <c r="H247" s="21">
        <v>0</v>
      </c>
      <c r="I247" s="21">
        <f>G247*AO247</f>
        <v>0</v>
      </c>
      <c r="J247" s="21">
        <f>G247*AP247</f>
        <v>0</v>
      </c>
      <c r="K247" s="21">
        <f>G247*H247</f>
        <v>0</v>
      </c>
      <c r="L247" s="33" t="s">
        <v>517</v>
      </c>
      <c r="M247" s="5"/>
      <c r="Z247" s="40">
        <f>IF(AQ247="5",BJ247,0)</f>
        <v>0</v>
      </c>
      <c r="AB247" s="40">
        <f>IF(AQ247="1",BH247,0)</f>
        <v>0</v>
      </c>
      <c r="AC247" s="40">
        <f>IF(AQ247="1",BI247,0)</f>
        <v>0</v>
      </c>
      <c r="AD247" s="40">
        <f>IF(AQ247="7",BH247,0)</f>
        <v>0</v>
      </c>
      <c r="AE247" s="40">
        <f>IF(AQ247="7",BI247,0)</f>
        <v>0</v>
      </c>
      <c r="AF247" s="40">
        <f>IF(AQ247="2",BH247,0)</f>
        <v>0</v>
      </c>
      <c r="AG247" s="40">
        <f>IF(AQ247="2",BI247,0)</f>
        <v>0</v>
      </c>
      <c r="AH247" s="40">
        <f>IF(AQ247="0",BJ247,0)</f>
        <v>0</v>
      </c>
      <c r="AI247" s="39"/>
      <c r="AJ247" s="21">
        <f>IF(AN247=0,K247,0)</f>
        <v>0</v>
      </c>
      <c r="AK247" s="21">
        <f>IF(AN247=15,K247,0)</f>
        <v>0</v>
      </c>
      <c r="AL247" s="21">
        <f>IF(AN247=21,K247,0)</f>
        <v>0</v>
      </c>
      <c r="AN247" s="40">
        <v>15</v>
      </c>
      <c r="AO247" s="40">
        <f>H247*0</f>
        <v>0</v>
      </c>
      <c r="AP247" s="40">
        <f>H247*(1-0)</f>
        <v>0</v>
      </c>
      <c r="AQ247" s="41" t="s">
        <v>7</v>
      </c>
      <c r="AV247" s="40">
        <f>AW247+AX247</f>
        <v>0</v>
      </c>
      <c r="AW247" s="40">
        <f>G247*AO247</f>
        <v>0</v>
      </c>
      <c r="AX247" s="40">
        <f>G247*AP247</f>
        <v>0</v>
      </c>
      <c r="AY247" s="43" t="s">
        <v>541</v>
      </c>
      <c r="AZ247" s="43" t="s">
        <v>556</v>
      </c>
      <c r="BA247" s="39" t="s">
        <v>557</v>
      </c>
      <c r="BC247" s="40">
        <f>AW247+AX247</f>
        <v>0</v>
      </c>
      <c r="BD247" s="40">
        <f>H247/(100-BE247)*100</f>
        <v>0</v>
      </c>
      <c r="BE247" s="40">
        <v>0</v>
      </c>
      <c r="BF247" s="40">
        <f>247</f>
        <v>247</v>
      </c>
      <c r="BH247" s="21">
        <f>G247*AO247</f>
        <v>0</v>
      </c>
      <c r="BI247" s="21">
        <f>G247*AP247</f>
        <v>0</v>
      </c>
      <c r="BJ247" s="21">
        <f>G247*H247</f>
        <v>0</v>
      </c>
      <c r="BK247" s="21" t="s">
        <v>562</v>
      </c>
      <c r="BL247" s="40">
        <v>94</v>
      </c>
    </row>
    <row r="248" spans="1:64" x14ac:dyDescent="0.25">
      <c r="A248" s="5"/>
      <c r="C248" s="87" t="s">
        <v>442</v>
      </c>
      <c r="D248" s="88"/>
      <c r="E248" s="88"/>
      <c r="G248" s="22">
        <v>944.32</v>
      </c>
      <c r="L248" s="34"/>
      <c r="M248" s="5"/>
    </row>
    <row r="249" spans="1:64" x14ac:dyDescent="0.25">
      <c r="A249" s="4" t="s">
        <v>78</v>
      </c>
      <c r="B249" s="14" t="s">
        <v>182</v>
      </c>
      <c r="C249" s="85" t="s">
        <v>443</v>
      </c>
      <c r="D249" s="86"/>
      <c r="E249" s="86"/>
      <c r="F249" s="14" t="s">
        <v>495</v>
      </c>
      <c r="G249" s="21">
        <v>2832.96</v>
      </c>
      <c r="H249" s="21">
        <v>0</v>
      </c>
      <c r="I249" s="21">
        <f>G249*AO249</f>
        <v>0</v>
      </c>
      <c r="J249" s="21">
        <f>G249*AP249</f>
        <v>0</v>
      </c>
      <c r="K249" s="21">
        <f>G249*H249</f>
        <v>0</v>
      </c>
      <c r="L249" s="33" t="s">
        <v>517</v>
      </c>
      <c r="M249" s="5"/>
      <c r="Z249" s="40">
        <f>IF(AQ249="5",BJ249,0)</f>
        <v>0</v>
      </c>
      <c r="AB249" s="40">
        <f>IF(AQ249="1",BH249,0)</f>
        <v>0</v>
      </c>
      <c r="AC249" s="40">
        <f>IF(AQ249="1",BI249,0)</f>
        <v>0</v>
      </c>
      <c r="AD249" s="40">
        <f>IF(AQ249="7",BH249,0)</f>
        <v>0</v>
      </c>
      <c r="AE249" s="40">
        <f>IF(AQ249="7",BI249,0)</f>
        <v>0</v>
      </c>
      <c r="AF249" s="40">
        <f>IF(AQ249="2",BH249,0)</f>
        <v>0</v>
      </c>
      <c r="AG249" s="40">
        <f>IF(AQ249="2",BI249,0)</f>
        <v>0</v>
      </c>
      <c r="AH249" s="40">
        <f>IF(AQ249="0",BJ249,0)</f>
        <v>0</v>
      </c>
      <c r="AI249" s="39"/>
      <c r="AJ249" s="21">
        <f>IF(AN249=0,K249,0)</f>
        <v>0</v>
      </c>
      <c r="AK249" s="21">
        <f>IF(AN249=15,K249,0)</f>
        <v>0</v>
      </c>
      <c r="AL249" s="21">
        <f>IF(AN249=21,K249,0)</f>
        <v>0</v>
      </c>
      <c r="AN249" s="40">
        <v>15</v>
      </c>
      <c r="AO249" s="40">
        <f>H249*1.00000009168512</f>
        <v>0</v>
      </c>
      <c r="AP249" s="40">
        <f>H249*(1-1.00000009168512)</f>
        <v>0</v>
      </c>
      <c r="AQ249" s="41" t="s">
        <v>7</v>
      </c>
      <c r="AV249" s="40">
        <f>AW249+AX249</f>
        <v>0</v>
      </c>
      <c r="AW249" s="40">
        <f>G249*AO249</f>
        <v>0</v>
      </c>
      <c r="AX249" s="40">
        <f>G249*AP249</f>
        <v>0</v>
      </c>
      <c r="AY249" s="43" t="s">
        <v>541</v>
      </c>
      <c r="AZ249" s="43" t="s">
        <v>556</v>
      </c>
      <c r="BA249" s="39" t="s">
        <v>557</v>
      </c>
      <c r="BC249" s="40">
        <f>AW249+AX249</f>
        <v>0</v>
      </c>
      <c r="BD249" s="40">
        <f>H249/(100-BE249)*100</f>
        <v>0</v>
      </c>
      <c r="BE249" s="40">
        <v>0</v>
      </c>
      <c r="BF249" s="40">
        <f>249</f>
        <v>249</v>
      </c>
      <c r="BH249" s="21">
        <f>G249*AO249</f>
        <v>0</v>
      </c>
      <c r="BI249" s="21">
        <f>G249*AP249</f>
        <v>0</v>
      </c>
      <c r="BJ249" s="21">
        <f>G249*H249</f>
        <v>0</v>
      </c>
      <c r="BK249" s="21" t="s">
        <v>562</v>
      </c>
      <c r="BL249" s="40">
        <v>94</v>
      </c>
    </row>
    <row r="250" spans="1:64" x14ac:dyDescent="0.25">
      <c r="A250" s="5"/>
      <c r="C250" s="87" t="s">
        <v>438</v>
      </c>
      <c r="D250" s="88"/>
      <c r="E250" s="88"/>
      <c r="G250" s="22">
        <v>2832.96</v>
      </c>
      <c r="L250" s="34"/>
      <c r="M250" s="5"/>
    </row>
    <row r="251" spans="1:64" x14ac:dyDescent="0.25">
      <c r="A251" s="4" t="s">
        <v>79</v>
      </c>
      <c r="B251" s="14" t="s">
        <v>183</v>
      </c>
      <c r="C251" s="85" t="s">
        <v>444</v>
      </c>
      <c r="D251" s="86"/>
      <c r="E251" s="86"/>
      <c r="F251" s="14" t="s">
        <v>495</v>
      </c>
      <c r="G251" s="21">
        <v>944.32</v>
      </c>
      <c r="H251" s="21">
        <v>0</v>
      </c>
      <c r="I251" s="21">
        <f>G251*AO251</f>
        <v>0</v>
      </c>
      <c r="J251" s="21">
        <f>G251*AP251</f>
        <v>0</v>
      </c>
      <c r="K251" s="21">
        <f>G251*H251</f>
        <v>0</v>
      </c>
      <c r="L251" s="33" t="s">
        <v>517</v>
      </c>
      <c r="M251" s="5"/>
      <c r="Z251" s="40">
        <f>IF(AQ251="5",BJ251,0)</f>
        <v>0</v>
      </c>
      <c r="AB251" s="40">
        <f>IF(AQ251="1",BH251,0)</f>
        <v>0</v>
      </c>
      <c r="AC251" s="40">
        <f>IF(AQ251="1",BI251,0)</f>
        <v>0</v>
      </c>
      <c r="AD251" s="40">
        <f>IF(AQ251="7",BH251,0)</f>
        <v>0</v>
      </c>
      <c r="AE251" s="40">
        <f>IF(AQ251="7",BI251,0)</f>
        <v>0</v>
      </c>
      <c r="AF251" s="40">
        <f>IF(AQ251="2",BH251,0)</f>
        <v>0</v>
      </c>
      <c r="AG251" s="40">
        <f>IF(AQ251="2",BI251,0)</f>
        <v>0</v>
      </c>
      <c r="AH251" s="40">
        <f>IF(AQ251="0",BJ251,0)</f>
        <v>0</v>
      </c>
      <c r="AI251" s="39"/>
      <c r="AJ251" s="21">
        <f>IF(AN251=0,K251,0)</f>
        <v>0</v>
      </c>
      <c r="AK251" s="21">
        <f>IF(AN251=15,K251,0)</f>
        <v>0</v>
      </c>
      <c r="AL251" s="21">
        <f>IF(AN251=21,K251,0)</f>
        <v>0</v>
      </c>
      <c r="AN251" s="40">
        <v>15</v>
      </c>
      <c r="AO251" s="40">
        <f>H251*0</f>
        <v>0</v>
      </c>
      <c r="AP251" s="40">
        <f>H251*(1-0)</f>
        <v>0</v>
      </c>
      <c r="AQ251" s="41" t="s">
        <v>7</v>
      </c>
      <c r="AV251" s="40">
        <f>AW251+AX251</f>
        <v>0</v>
      </c>
      <c r="AW251" s="40">
        <f>G251*AO251</f>
        <v>0</v>
      </c>
      <c r="AX251" s="40">
        <f>G251*AP251</f>
        <v>0</v>
      </c>
      <c r="AY251" s="43" t="s">
        <v>541</v>
      </c>
      <c r="AZ251" s="43" t="s">
        <v>556</v>
      </c>
      <c r="BA251" s="39" t="s">
        <v>557</v>
      </c>
      <c r="BC251" s="40">
        <f>AW251+AX251</f>
        <v>0</v>
      </c>
      <c r="BD251" s="40">
        <f>H251/(100-BE251)*100</f>
        <v>0</v>
      </c>
      <c r="BE251" s="40">
        <v>0</v>
      </c>
      <c r="BF251" s="40">
        <f>251</f>
        <v>251</v>
      </c>
      <c r="BH251" s="21">
        <f>G251*AO251</f>
        <v>0</v>
      </c>
      <c r="BI251" s="21">
        <f>G251*AP251</f>
        <v>0</v>
      </c>
      <c r="BJ251" s="21">
        <f>G251*H251</f>
        <v>0</v>
      </c>
      <c r="BK251" s="21" t="s">
        <v>562</v>
      </c>
      <c r="BL251" s="40">
        <v>94</v>
      </c>
    </row>
    <row r="252" spans="1:64" x14ac:dyDescent="0.25">
      <c r="A252" s="5"/>
      <c r="C252" s="87" t="s">
        <v>440</v>
      </c>
      <c r="D252" s="88"/>
      <c r="E252" s="88"/>
      <c r="G252" s="22">
        <v>944.32</v>
      </c>
      <c r="L252" s="34"/>
      <c r="M252" s="5"/>
    </row>
    <row r="253" spans="1:64" x14ac:dyDescent="0.25">
      <c r="A253" s="6"/>
      <c r="B253" s="15" t="s">
        <v>184</v>
      </c>
      <c r="C253" s="83" t="s">
        <v>445</v>
      </c>
      <c r="D253" s="84"/>
      <c r="E253" s="84"/>
      <c r="F253" s="19" t="s">
        <v>6</v>
      </c>
      <c r="G253" s="19" t="s">
        <v>6</v>
      </c>
      <c r="H253" s="19" t="s">
        <v>6</v>
      </c>
      <c r="I253" s="46">
        <f>SUM(I254:I256)</f>
        <v>0</v>
      </c>
      <c r="J253" s="46">
        <f>SUM(J254:J256)</f>
        <v>0</v>
      </c>
      <c r="K253" s="46">
        <f>SUM(K254:K256)</f>
        <v>0</v>
      </c>
      <c r="L253" s="35"/>
      <c r="M253" s="5"/>
      <c r="AI253" s="39"/>
      <c r="AS253" s="46">
        <f>SUM(AJ254:AJ256)</f>
        <v>0</v>
      </c>
      <c r="AT253" s="46">
        <f>SUM(AK254:AK256)</f>
        <v>0</v>
      </c>
      <c r="AU253" s="46">
        <f>SUM(AL254:AL256)</f>
        <v>0</v>
      </c>
    </row>
    <row r="254" spans="1:64" x14ac:dyDescent="0.25">
      <c r="A254" s="4" t="s">
        <v>80</v>
      </c>
      <c r="B254" s="14" t="s">
        <v>185</v>
      </c>
      <c r="C254" s="85" t="s">
        <v>446</v>
      </c>
      <c r="D254" s="86"/>
      <c r="E254" s="86"/>
      <c r="F254" s="14" t="s">
        <v>495</v>
      </c>
      <c r="G254" s="21">
        <v>280</v>
      </c>
      <c r="H254" s="21">
        <v>0</v>
      </c>
      <c r="I254" s="21">
        <f>G254*AO254</f>
        <v>0</v>
      </c>
      <c r="J254" s="21">
        <f>G254*AP254</f>
        <v>0</v>
      </c>
      <c r="K254" s="21">
        <f>G254*H254</f>
        <v>0</v>
      </c>
      <c r="L254" s="33" t="s">
        <v>517</v>
      </c>
      <c r="M254" s="5"/>
      <c r="Z254" s="40">
        <f>IF(AQ254="5",BJ254,0)</f>
        <v>0</v>
      </c>
      <c r="AB254" s="40">
        <f>IF(AQ254="1",BH254,0)</f>
        <v>0</v>
      </c>
      <c r="AC254" s="40">
        <f>IF(AQ254="1",BI254,0)</f>
        <v>0</v>
      </c>
      <c r="AD254" s="40">
        <f>IF(AQ254="7",BH254,0)</f>
        <v>0</v>
      </c>
      <c r="AE254" s="40">
        <f>IF(AQ254="7",BI254,0)</f>
        <v>0</v>
      </c>
      <c r="AF254" s="40">
        <f>IF(AQ254="2",BH254,0)</f>
        <v>0</v>
      </c>
      <c r="AG254" s="40">
        <f>IF(AQ254="2",BI254,0)</f>
        <v>0</v>
      </c>
      <c r="AH254" s="40">
        <f>IF(AQ254="0",BJ254,0)</f>
        <v>0</v>
      </c>
      <c r="AI254" s="39"/>
      <c r="AJ254" s="21">
        <f>IF(AN254=0,K254,0)</f>
        <v>0</v>
      </c>
      <c r="AK254" s="21">
        <f>IF(AN254=15,K254,0)</f>
        <v>0</v>
      </c>
      <c r="AL254" s="21">
        <f>IF(AN254=21,K254,0)</f>
        <v>0</v>
      </c>
      <c r="AN254" s="40">
        <v>15</v>
      </c>
      <c r="AO254" s="40">
        <f>H254*0.00170164492342598</f>
        <v>0</v>
      </c>
      <c r="AP254" s="40">
        <f>H254*(1-0.00170164492342598)</f>
        <v>0</v>
      </c>
      <c r="AQ254" s="41" t="s">
        <v>7</v>
      </c>
      <c r="AV254" s="40">
        <f>AW254+AX254</f>
        <v>0</v>
      </c>
      <c r="AW254" s="40">
        <f>G254*AO254</f>
        <v>0</v>
      </c>
      <c r="AX254" s="40">
        <f>G254*AP254</f>
        <v>0</v>
      </c>
      <c r="AY254" s="43" t="s">
        <v>542</v>
      </c>
      <c r="AZ254" s="43" t="s">
        <v>556</v>
      </c>
      <c r="BA254" s="39" t="s">
        <v>557</v>
      </c>
      <c r="BC254" s="40">
        <f>AW254+AX254</f>
        <v>0</v>
      </c>
      <c r="BD254" s="40">
        <f>H254/(100-BE254)*100</f>
        <v>0</v>
      </c>
      <c r="BE254" s="40">
        <v>0</v>
      </c>
      <c r="BF254" s="40">
        <f>254</f>
        <v>254</v>
      </c>
      <c r="BH254" s="21">
        <f>G254*AO254</f>
        <v>0</v>
      </c>
      <c r="BI254" s="21">
        <f>G254*AP254</f>
        <v>0</v>
      </c>
      <c r="BJ254" s="21">
        <f>G254*H254</f>
        <v>0</v>
      </c>
      <c r="BK254" s="21" t="s">
        <v>562</v>
      </c>
      <c r="BL254" s="40">
        <v>95</v>
      </c>
    </row>
    <row r="255" spans="1:64" x14ac:dyDescent="0.25">
      <c r="A255" s="5"/>
      <c r="C255" s="87" t="s">
        <v>343</v>
      </c>
      <c r="D255" s="88"/>
      <c r="E255" s="88"/>
      <c r="G255" s="22">
        <v>280</v>
      </c>
      <c r="L255" s="34"/>
      <c r="M255" s="5"/>
    </row>
    <row r="256" spans="1:64" x14ac:dyDescent="0.25">
      <c r="A256" s="4" t="s">
        <v>81</v>
      </c>
      <c r="B256" s="14" t="s">
        <v>186</v>
      </c>
      <c r="C256" s="85" t="s">
        <v>447</v>
      </c>
      <c r="D256" s="86"/>
      <c r="E256" s="86"/>
      <c r="F256" s="14" t="s">
        <v>495</v>
      </c>
      <c r="G256" s="21">
        <v>136.93049999999999</v>
      </c>
      <c r="H256" s="21">
        <v>0</v>
      </c>
      <c r="I256" s="21">
        <f>G256*AO256</f>
        <v>0</v>
      </c>
      <c r="J256" s="21">
        <f>G256*AP256</f>
        <v>0</v>
      </c>
      <c r="K256" s="21">
        <f>G256*H256</f>
        <v>0</v>
      </c>
      <c r="L256" s="33" t="s">
        <v>517</v>
      </c>
      <c r="M256" s="5"/>
      <c r="Z256" s="40">
        <f>IF(AQ256="5",BJ256,0)</f>
        <v>0</v>
      </c>
      <c r="AB256" s="40">
        <f>IF(AQ256="1",BH256,0)</f>
        <v>0</v>
      </c>
      <c r="AC256" s="40">
        <f>IF(AQ256="1",BI256,0)</f>
        <v>0</v>
      </c>
      <c r="AD256" s="40">
        <f>IF(AQ256="7",BH256,0)</f>
        <v>0</v>
      </c>
      <c r="AE256" s="40">
        <f>IF(AQ256="7",BI256,0)</f>
        <v>0</v>
      </c>
      <c r="AF256" s="40">
        <f>IF(AQ256="2",BH256,0)</f>
        <v>0</v>
      </c>
      <c r="AG256" s="40">
        <f>IF(AQ256="2",BI256,0)</f>
        <v>0</v>
      </c>
      <c r="AH256" s="40">
        <f>IF(AQ256="0",BJ256,0)</f>
        <v>0</v>
      </c>
      <c r="AI256" s="39"/>
      <c r="AJ256" s="21">
        <f>IF(AN256=0,K256,0)</f>
        <v>0</v>
      </c>
      <c r="AK256" s="21">
        <f>IF(AN256=15,K256,0)</f>
        <v>0</v>
      </c>
      <c r="AL256" s="21">
        <f>IF(AN256=21,K256,0)</f>
        <v>0</v>
      </c>
      <c r="AN256" s="40">
        <v>15</v>
      </c>
      <c r="AO256" s="40">
        <f>H256*0.019246023937519</f>
        <v>0</v>
      </c>
      <c r="AP256" s="40">
        <f>H256*(1-0.019246023937519)</f>
        <v>0</v>
      </c>
      <c r="AQ256" s="41" t="s">
        <v>7</v>
      </c>
      <c r="AV256" s="40">
        <f>AW256+AX256</f>
        <v>0</v>
      </c>
      <c r="AW256" s="40">
        <f>G256*AO256</f>
        <v>0</v>
      </c>
      <c r="AX256" s="40">
        <f>G256*AP256</f>
        <v>0</v>
      </c>
      <c r="AY256" s="43" t="s">
        <v>542</v>
      </c>
      <c r="AZ256" s="43" t="s">
        <v>556</v>
      </c>
      <c r="BA256" s="39" t="s">
        <v>557</v>
      </c>
      <c r="BC256" s="40">
        <f>AW256+AX256</f>
        <v>0</v>
      </c>
      <c r="BD256" s="40">
        <f>H256/(100-BE256)*100</f>
        <v>0</v>
      </c>
      <c r="BE256" s="40">
        <v>0</v>
      </c>
      <c r="BF256" s="40">
        <f>256</f>
        <v>256</v>
      </c>
      <c r="BH256" s="21">
        <f>G256*AO256</f>
        <v>0</v>
      </c>
      <c r="BI256" s="21">
        <f>G256*AP256</f>
        <v>0</v>
      </c>
      <c r="BJ256" s="21">
        <f>G256*H256</f>
        <v>0</v>
      </c>
      <c r="BK256" s="21" t="s">
        <v>562</v>
      </c>
      <c r="BL256" s="40">
        <v>95</v>
      </c>
    </row>
    <row r="257" spans="1:64" x14ac:dyDescent="0.25">
      <c r="A257" s="5"/>
      <c r="C257" s="87" t="s">
        <v>448</v>
      </c>
      <c r="D257" s="88"/>
      <c r="E257" s="88"/>
      <c r="G257" s="22">
        <v>136.93049999999999</v>
      </c>
      <c r="L257" s="34"/>
      <c r="M257" s="5"/>
    </row>
    <row r="258" spans="1:64" x14ac:dyDescent="0.25">
      <c r="A258" s="6"/>
      <c r="B258" s="15" t="s">
        <v>187</v>
      </c>
      <c r="C258" s="83" t="s">
        <v>449</v>
      </c>
      <c r="D258" s="84"/>
      <c r="E258" s="84"/>
      <c r="F258" s="19" t="s">
        <v>6</v>
      </c>
      <c r="G258" s="19" t="s">
        <v>6</v>
      </c>
      <c r="H258" s="19" t="s">
        <v>6</v>
      </c>
      <c r="I258" s="46">
        <f>SUM(I259:I278)</f>
        <v>0</v>
      </c>
      <c r="J258" s="46">
        <f>SUM(J259:J278)</f>
        <v>0</v>
      </c>
      <c r="K258" s="46">
        <f>SUM(K259:K278)</f>
        <v>0</v>
      </c>
      <c r="L258" s="35"/>
      <c r="M258" s="5"/>
      <c r="AI258" s="39"/>
      <c r="AS258" s="46">
        <f>SUM(AJ259:AJ278)</f>
        <v>0</v>
      </c>
      <c r="AT258" s="46">
        <f>SUM(AK259:AK278)</f>
        <v>0</v>
      </c>
      <c r="AU258" s="46">
        <f>SUM(AL259:AL278)</f>
        <v>0</v>
      </c>
    </row>
    <row r="259" spans="1:64" x14ac:dyDescent="0.25">
      <c r="A259" s="4" t="s">
        <v>82</v>
      </c>
      <c r="B259" s="14" t="s">
        <v>188</v>
      </c>
      <c r="C259" s="85" t="s">
        <v>450</v>
      </c>
      <c r="D259" s="86"/>
      <c r="E259" s="86"/>
      <c r="F259" s="14" t="s">
        <v>497</v>
      </c>
      <c r="G259" s="21">
        <v>17</v>
      </c>
      <c r="H259" s="21">
        <v>0</v>
      </c>
      <c r="I259" s="21">
        <f>G259*AO259</f>
        <v>0</v>
      </c>
      <c r="J259" s="21">
        <f>G259*AP259</f>
        <v>0</v>
      </c>
      <c r="K259" s="21">
        <f>G259*H259</f>
        <v>0</v>
      </c>
      <c r="L259" s="33" t="s">
        <v>517</v>
      </c>
      <c r="M259" s="5"/>
      <c r="Z259" s="40">
        <f>IF(AQ259="5",BJ259,0)</f>
        <v>0</v>
      </c>
      <c r="AB259" s="40">
        <f>IF(AQ259="1",BH259,0)</f>
        <v>0</v>
      </c>
      <c r="AC259" s="40">
        <f>IF(AQ259="1",BI259,0)</f>
        <v>0</v>
      </c>
      <c r="AD259" s="40">
        <f>IF(AQ259="7",BH259,0)</f>
        <v>0</v>
      </c>
      <c r="AE259" s="40">
        <f>IF(AQ259="7",BI259,0)</f>
        <v>0</v>
      </c>
      <c r="AF259" s="40">
        <f>IF(AQ259="2",BH259,0)</f>
        <v>0</v>
      </c>
      <c r="AG259" s="40">
        <f>IF(AQ259="2",BI259,0)</f>
        <v>0</v>
      </c>
      <c r="AH259" s="40">
        <f>IF(AQ259="0",BJ259,0)</f>
        <v>0</v>
      </c>
      <c r="AI259" s="39"/>
      <c r="AJ259" s="21">
        <f>IF(AN259=0,K259,0)</f>
        <v>0</v>
      </c>
      <c r="AK259" s="21">
        <f>IF(AN259=15,K259,0)</f>
        <v>0</v>
      </c>
      <c r="AL259" s="21">
        <f>IF(AN259=21,K259,0)</f>
        <v>0</v>
      </c>
      <c r="AN259" s="40">
        <v>15</v>
      </c>
      <c r="AO259" s="40">
        <f>H259*0</f>
        <v>0</v>
      </c>
      <c r="AP259" s="40">
        <f>H259*(1-0)</f>
        <v>0</v>
      </c>
      <c r="AQ259" s="41" t="s">
        <v>7</v>
      </c>
      <c r="AV259" s="40">
        <f>AW259+AX259</f>
        <v>0</v>
      </c>
      <c r="AW259" s="40">
        <f>G259*AO259</f>
        <v>0</v>
      </c>
      <c r="AX259" s="40">
        <f>G259*AP259</f>
        <v>0</v>
      </c>
      <c r="AY259" s="43" t="s">
        <v>543</v>
      </c>
      <c r="AZ259" s="43" t="s">
        <v>556</v>
      </c>
      <c r="BA259" s="39" t="s">
        <v>557</v>
      </c>
      <c r="BC259" s="40">
        <f>AW259+AX259</f>
        <v>0</v>
      </c>
      <c r="BD259" s="40">
        <f>H259/(100-BE259)*100</f>
        <v>0</v>
      </c>
      <c r="BE259" s="40">
        <v>0</v>
      </c>
      <c r="BF259" s="40">
        <f>259</f>
        <v>259</v>
      </c>
      <c r="BH259" s="21">
        <f>G259*AO259</f>
        <v>0</v>
      </c>
      <c r="BI259" s="21">
        <f>G259*AP259</f>
        <v>0</v>
      </c>
      <c r="BJ259" s="21">
        <f>G259*H259</f>
        <v>0</v>
      </c>
      <c r="BK259" s="21" t="s">
        <v>562</v>
      </c>
      <c r="BL259" s="40">
        <v>96</v>
      </c>
    </row>
    <row r="260" spans="1:64" x14ac:dyDescent="0.25">
      <c r="A260" s="5"/>
      <c r="C260" s="87" t="s">
        <v>451</v>
      </c>
      <c r="D260" s="88"/>
      <c r="E260" s="88"/>
      <c r="G260" s="22">
        <v>17</v>
      </c>
      <c r="L260" s="34"/>
      <c r="M260" s="5"/>
    </row>
    <row r="261" spans="1:64" x14ac:dyDescent="0.25">
      <c r="A261" s="4" t="s">
        <v>83</v>
      </c>
      <c r="B261" s="14" t="s">
        <v>189</v>
      </c>
      <c r="C261" s="85" t="s">
        <v>452</v>
      </c>
      <c r="D261" s="86"/>
      <c r="E261" s="86"/>
      <c r="F261" s="14" t="s">
        <v>495</v>
      </c>
      <c r="G261" s="21">
        <v>9.18</v>
      </c>
      <c r="H261" s="21">
        <v>0</v>
      </c>
      <c r="I261" s="21">
        <f>G261*AO261</f>
        <v>0</v>
      </c>
      <c r="J261" s="21">
        <f>G261*AP261</f>
        <v>0</v>
      </c>
      <c r="K261" s="21">
        <f>G261*H261</f>
        <v>0</v>
      </c>
      <c r="L261" s="33" t="s">
        <v>517</v>
      </c>
      <c r="M261" s="5"/>
      <c r="Z261" s="40">
        <f>IF(AQ261="5",BJ261,0)</f>
        <v>0</v>
      </c>
      <c r="AB261" s="40">
        <f>IF(AQ261="1",BH261,0)</f>
        <v>0</v>
      </c>
      <c r="AC261" s="40">
        <f>IF(AQ261="1",BI261,0)</f>
        <v>0</v>
      </c>
      <c r="AD261" s="40">
        <f>IF(AQ261="7",BH261,0)</f>
        <v>0</v>
      </c>
      <c r="AE261" s="40">
        <f>IF(AQ261="7",BI261,0)</f>
        <v>0</v>
      </c>
      <c r="AF261" s="40">
        <f>IF(AQ261="2",BH261,0)</f>
        <v>0</v>
      </c>
      <c r="AG261" s="40">
        <f>IF(AQ261="2",BI261,0)</f>
        <v>0</v>
      </c>
      <c r="AH261" s="40">
        <f>IF(AQ261="0",BJ261,0)</f>
        <v>0</v>
      </c>
      <c r="AI261" s="39"/>
      <c r="AJ261" s="21">
        <f>IF(AN261=0,K261,0)</f>
        <v>0</v>
      </c>
      <c r="AK261" s="21">
        <f>IF(AN261=15,K261,0)</f>
        <v>0</v>
      </c>
      <c r="AL261" s="21">
        <f>IF(AN261=21,K261,0)</f>
        <v>0</v>
      </c>
      <c r="AN261" s="40">
        <v>15</v>
      </c>
      <c r="AO261" s="40">
        <f>H261*0.167218050690898</f>
        <v>0</v>
      </c>
      <c r="AP261" s="40">
        <f>H261*(1-0.167218050690898)</f>
        <v>0</v>
      </c>
      <c r="AQ261" s="41" t="s">
        <v>7</v>
      </c>
      <c r="AV261" s="40">
        <f>AW261+AX261</f>
        <v>0</v>
      </c>
      <c r="AW261" s="40">
        <f>G261*AO261</f>
        <v>0</v>
      </c>
      <c r="AX261" s="40">
        <f>G261*AP261</f>
        <v>0</v>
      </c>
      <c r="AY261" s="43" t="s">
        <v>543</v>
      </c>
      <c r="AZ261" s="43" t="s">
        <v>556</v>
      </c>
      <c r="BA261" s="39" t="s">
        <v>557</v>
      </c>
      <c r="BC261" s="40">
        <f>AW261+AX261</f>
        <v>0</v>
      </c>
      <c r="BD261" s="40">
        <f>H261/(100-BE261)*100</f>
        <v>0</v>
      </c>
      <c r="BE261" s="40">
        <v>0</v>
      </c>
      <c r="BF261" s="40">
        <f>261</f>
        <v>261</v>
      </c>
      <c r="BH261" s="21">
        <f>G261*AO261</f>
        <v>0</v>
      </c>
      <c r="BI261" s="21">
        <f>G261*AP261</f>
        <v>0</v>
      </c>
      <c r="BJ261" s="21">
        <f>G261*H261</f>
        <v>0</v>
      </c>
      <c r="BK261" s="21" t="s">
        <v>562</v>
      </c>
      <c r="BL261" s="40">
        <v>96</v>
      </c>
    </row>
    <row r="262" spans="1:64" x14ac:dyDescent="0.25">
      <c r="A262" s="5"/>
      <c r="C262" s="87" t="s">
        <v>453</v>
      </c>
      <c r="D262" s="88"/>
      <c r="E262" s="88"/>
      <c r="G262" s="22">
        <v>9.18</v>
      </c>
      <c r="L262" s="34"/>
      <c r="M262" s="5"/>
    </row>
    <row r="263" spans="1:64" x14ac:dyDescent="0.25">
      <c r="A263" s="4" t="s">
        <v>84</v>
      </c>
      <c r="B263" s="14" t="s">
        <v>190</v>
      </c>
      <c r="C263" s="85" t="s">
        <v>454</v>
      </c>
      <c r="D263" s="86"/>
      <c r="E263" s="86"/>
      <c r="F263" s="14" t="s">
        <v>497</v>
      </c>
      <c r="G263" s="21">
        <v>128</v>
      </c>
      <c r="H263" s="21">
        <v>0</v>
      </c>
      <c r="I263" s="21">
        <f>G263*AO263</f>
        <v>0</v>
      </c>
      <c r="J263" s="21">
        <f>G263*AP263</f>
        <v>0</v>
      </c>
      <c r="K263" s="21">
        <f>G263*H263</f>
        <v>0</v>
      </c>
      <c r="L263" s="33" t="s">
        <v>517</v>
      </c>
      <c r="M263" s="5"/>
      <c r="Z263" s="40">
        <f>IF(AQ263="5",BJ263,0)</f>
        <v>0</v>
      </c>
      <c r="AB263" s="40">
        <f>IF(AQ263="1",BH263,0)</f>
        <v>0</v>
      </c>
      <c r="AC263" s="40">
        <f>IF(AQ263="1",BI263,0)</f>
        <v>0</v>
      </c>
      <c r="AD263" s="40">
        <f>IF(AQ263="7",BH263,0)</f>
        <v>0</v>
      </c>
      <c r="AE263" s="40">
        <f>IF(AQ263="7",BI263,0)</f>
        <v>0</v>
      </c>
      <c r="AF263" s="40">
        <f>IF(AQ263="2",BH263,0)</f>
        <v>0</v>
      </c>
      <c r="AG263" s="40">
        <f>IF(AQ263="2",BI263,0)</f>
        <v>0</v>
      </c>
      <c r="AH263" s="40">
        <f>IF(AQ263="0",BJ263,0)</f>
        <v>0</v>
      </c>
      <c r="AI263" s="39"/>
      <c r="AJ263" s="21">
        <f>IF(AN263=0,K263,0)</f>
        <v>0</v>
      </c>
      <c r="AK263" s="21">
        <f>IF(AN263=15,K263,0)</f>
        <v>0</v>
      </c>
      <c r="AL263" s="21">
        <f>IF(AN263=21,K263,0)</f>
        <v>0</v>
      </c>
      <c r="AN263" s="40">
        <v>15</v>
      </c>
      <c r="AO263" s="40">
        <f>H263*0</f>
        <v>0</v>
      </c>
      <c r="AP263" s="40">
        <f>H263*(1-0)</f>
        <v>0</v>
      </c>
      <c r="AQ263" s="41" t="s">
        <v>7</v>
      </c>
      <c r="AV263" s="40">
        <f>AW263+AX263</f>
        <v>0</v>
      </c>
      <c r="AW263" s="40">
        <f>G263*AO263</f>
        <v>0</v>
      </c>
      <c r="AX263" s="40">
        <f>G263*AP263</f>
        <v>0</v>
      </c>
      <c r="AY263" s="43" t="s">
        <v>543</v>
      </c>
      <c r="AZ263" s="43" t="s">
        <v>556</v>
      </c>
      <c r="BA263" s="39" t="s">
        <v>557</v>
      </c>
      <c r="BC263" s="40">
        <f>AW263+AX263</f>
        <v>0</v>
      </c>
      <c r="BD263" s="40">
        <f>H263/(100-BE263)*100</f>
        <v>0</v>
      </c>
      <c r="BE263" s="40">
        <v>0</v>
      </c>
      <c r="BF263" s="40">
        <f>263</f>
        <v>263</v>
      </c>
      <c r="BH263" s="21">
        <f>G263*AO263</f>
        <v>0</v>
      </c>
      <c r="BI263" s="21">
        <f>G263*AP263</f>
        <v>0</v>
      </c>
      <c r="BJ263" s="21">
        <f>G263*H263</f>
        <v>0</v>
      </c>
      <c r="BK263" s="21" t="s">
        <v>562</v>
      </c>
      <c r="BL263" s="40">
        <v>96</v>
      </c>
    </row>
    <row r="264" spans="1:64" x14ac:dyDescent="0.25">
      <c r="A264" s="5"/>
      <c r="C264" s="87" t="s">
        <v>455</v>
      </c>
      <c r="D264" s="88"/>
      <c r="E264" s="88"/>
      <c r="G264" s="22">
        <v>72</v>
      </c>
      <c r="L264" s="34"/>
      <c r="M264" s="5"/>
    </row>
    <row r="265" spans="1:64" x14ac:dyDescent="0.25">
      <c r="A265" s="5"/>
      <c r="C265" s="87" t="s">
        <v>456</v>
      </c>
      <c r="D265" s="88"/>
      <c r="E265" s="88"/>
      <c r="G265" s="22">
        <v>32</v>
      </c>
      <c r="L265" s="34"/>
      <c r="M265" s="5"/>
    </row>
    <row r="266" spans="1:64" x14ac:dyDescent="0.25">
      <c r="A266" s="5"/>
      <c r="C266" s="87" t="s">
        <v>457</v>
      </c>
      <c r="D266" s="88"/>
      <c r="E266" s="88"/>
      <c r="G266" s="22">
        <v>24</v>
      </c>
      <c r="L266" s="34"/>
      <c r="M266" s="5"/>
    </row>
    <row r="267" spans="1:64" x14ac:dyDescent="0.25">
      <c r="A267" s="4" t="s">
        <v>85</v>
      </c>
      <c r="B267" s="14" t="s">
        <v>191</v>
      </c>
      <c r="C267" s="85" t="s">
        <v>458</v>
      </c>
      <c r="D267" s="86"/>
      <c r="E267" s="86"/>
      <c r="F267" s="14" t="s">
        <v>495</v>
      </c>
      <c r="G267" s="21">
        <v>75.599999999999994</v>
      </c>
      <c r="H267" s="21">
        <v>0</v>
      </c>
      <c r="I267" s="21">
        <f>G267*AO267</f>
        <v>0</v>
      </c>
      <c r="J267" s="21">
        <f>G267*AP267</f>
        <v>0</v>
      </c>
      <c r="K267" s="21">
        <f>G267*H267</f>
        <v>0</v>
      </c>
      <c r="L267" s="33" t="s">
        <v>517</v>
      </c>
      <c r="M267" s="5"/>
      <c r="Z267" s="40">
        <f>IF(AQ267="5",BJ267,0)</f>
        <v>0</v>
      </c>
      <c r="AB267" s="40">
        <f>IF(AQ267="1",BH267,0)</f>
        <v>0</v>
      </c>
      <c r="AC267" s="40">
        <f>IF(AQ267="1",BI267,0)</f>
        <v>0</v>
      </c>
      <c r="AD267" s="40">
        <f>IF(AQ267="7",BH267,0)</f>
        <v>0</v>
      </c>
      <c r="AE267" s="40">
        <f>IF(AQ267="7",BI267,0)</f>
        <v>0</v>
      </c>
      <c r="AF267" s="40">
        <f>IF(AQ267="2",BH267,0)</f>
        <v>0</v>
      </c>
      <c r="AG267" s="40">
        <f>IF(AQ267="2",BI267,0)</f>
        <v>0</v>
      </c>
      <c r="AH267" s="40">
        <f>IF(AQ267="0",BJ267,0)</f>
        <v>0</v>
      </c>
      <c r="AI267" s="39"/>
      <c r="AJ267" s="21">
        <f>IF(AN267=0,K267,0)</f>
        <v>0</v>
      </c>
      <c r="AK267" s="21">
        <f>IF(AN267=15,K267,0)</f>
        <v>0</v>
      </c>
      <c r="AL267" s="21">
        <f>IF(AN267=21,K267,0)</f>
        <v>0</v>
      </c>
      <c r="AN267" s="40">
        <v>15</v>
      </c>
      <c r="AO267" s="40">
        <f>H267*0.108181918070401</f>
        <v>0</v>
      </c>
      <c r="AP267" s="40">
        <f>H267*(1-0.108181918070401)</f>
        <v>0</v>
      </c>
      <c r="AQ267" s="41" t="s">
        <v>7</v>
      </c>
      <c r="AV267" s="40">
        <f>AW267+AX267</f>
        <v>0</v>
      </c>
      <c r="AW267" s="40">
        <f>G267*AO267</f>
        <v>0</v>
      </c>
      <c r="AX267" s="40">
        <f>G267*AP267</f>
        <v>0</v>
      </c>
      <c r="AY267" s="43" t="s">
        <v>543</v>
      </c>
      <c r="AZ267" s="43" t="s">
        <v>556</v>
      </c>
      <c r="BA267" s="39" t="s">
        <v>557</v>
      </c>
      <c r="BC267" s="40">
        <f>AW267+AX267</f>
        <v>0</v>
      </c>
      <c r="BD267" s="40">
        <f>H267/(100-BE267)*100</f>
        <v>0</v>
      </c>
      <c r="BE267" s="40">
        <v>0</v>
      </c>
      <c r="BF267" s="40">
        <f>267</f>
        <v>267</v>
      </c>
      <c r="BH267" s="21">
        <f>G267*AO267</f>
        <v>0</v>
      </c>
      <c r="BI267" s="21">
        <f>G267*AP267</f>
        <v>0</v>
      </c>
      <c r="BJ267" s="21">
        <f>G267*H267</f>
        <v>0</v>
      </c>
      <c r="BK267" s="21" t="s">
        <v>562</v>
      </c>
      <c r="BL267" s="40">
        <v>96</v>
      </c>
    </row>
    <row r="268" spans="1:64" x14ac:dyDescent="0.25">
      <c r="A268" s="5"/>
      <c r="C268" s="87" t="s">
        <v>459</v>
      </c>
      <c r="D268" s="88"/>
      <c r="E268" s="88"/>
      <c r="G268" s="22">
        <v>75.599999999999994</v>
      </c>
      <c r="L268" s="34"/>
      <c r="M268" s="5"/>
    </row>
    <row r="269" spans="1:64" x14ac:dyDescent="0.25">
      <c r="A269" s="4" t="s">
        <v>86</v>
      </c>
      <c r="B269" s="14" t="s">
        <v>192</v>
      </c>
      <c r="C269" s="85" t="s">
        <v>460</v>
      </c>
      <c r="D269" s="86"/>
      <c r="E269" s="86"/>
      <c r="F269" s="14" t="s">
        <v>495</v>
      </c>
      <c r="G269" s="21">
        <v>46.44</v>
      </c>
      <c r="H269" s="21">
        <v>0</v>
      </c>
      <c r="I269" s="21">
        <f>G269*AO269</f>
        <v>0</v>
      </c>
      <c r="J269" s="21">
        <f>G269*AP269</f>
        <v>0</v>
      </c>
      <c r="K269" s="21">
        <f>G269*H269</f>
        <v>0</v>
      </c>
      <c r="L269" s="33" t="s">
        <v>517</v>
      </c>
      <c r="M269" s="5"/>
      <c r="Z269" s="40">
        <f>IF(AQ269="5",BJ269,0)</f>
        <v>0</v>
      </c>
      <c r="AB269" s="40">
        <f>IF(AQ269="1",BH269,0)</f>
        <v>0</v>
      </c>
      <c r="AC269" s="40">
        <f>IF(AQ269="1",BI269,0)</f>
        <v>0</v>
      </c>
      <c r="AD269" s="40">
        <f>IF(AQ269="7",BH269,0)</f>
        <v>0</v>
      </c>
      <c r="AE269" s="40">
        <f>IF(AQ269="7",BI269,0)</f>
        <v>0</v>
      </c>
      <c r="AF269" s="40">
        <f>IF(AQ269="2",BH269,0)</f>
        <v>0</v>
      </c>
      <c r="AG269" s="40">
        <f>IF(AQ269="2",BI269,0)</f>
        <v>0</v>
      </c>
      <c r="AH269" s="40">
        <f>IF(AQ269="0",BJ269,0)</f>
        <v>0</v>
      </c>
      <c r="AI269" s="39"/>
      <c r="AJ269" s="21">
        <f>IF(AN269=0,K269,0)</f>
        <v>0</v>
      </c>
      <c r="AK269" s="21">
        <f>IF(AN269=15,K269,0)</f>
        <v>0</v>
      </c>
      <c r="AL269" s="21">
        <f>IF(AN269=21,K269,0)</f>
        <v>0</v>
      </c>
      <c r="AN269" s="40">
        <v>15</v>
      </c>
      <c r="AO269" s="40">
        <f>H269*0.154877932780089</f>
        <v>0</v>
      </c>
      <c r="AP269" s="40">
        <f>H269*(1-0.154877932780089)</f>
        <v>0</v>
      </c>
      <c r="AQ269" s="41" t="s">
        <v>7</v>
      </c>
      <c r="AV269" s="40">
        <f>AW269+AX269</f>
        <v>0</v>
      </c>
      <c r="AW269" s="40">
        <f>G269*AO269</f>
        <v>0</v>
      </c>
      <c r="AX269" s="40">
        <f>G269*AP269</f>
        <v>0</v>
      </c>
      <c r="AY269" s="43" t="s">
        <v>543</v>
      </c>
      <c r="AZ269" s="43" t="s">
        <v>556</v>
      </c>
      <c r="BA269" s="39" t="s">
        <v>557</v>
      </c>
      <c r="BC269" s="40">
        <f>AW269+AX269</f>
        <v>0</v>
      </c>
      <c r="BD269" s="40">
        <f>H269/(100-BE269)*100</f>
        <v>0</v>
      </c>
      <c r="BE269" s="40">
        <v>0</v>
      </c>
      <c r="BF269" s="40">
        <f>269</f>
        <v>269</v>
      </c>
      <c r="BH269" s="21">
        <f>G269*AO269</f>
        <v>0</v>
      </c>
      <c r="BI269" s="21">
        <f>G269*AP269</f>
        <v>0</v>
      </c>
      <c r="BJ269" s="21">
        <f>G269*H269</f>
        <v>0</v>
      </c>
      <c r="BK269" s="21" t="s">
        <v>562</v>
      </c>
      <c r="BL269" s="40">
        <v>96</v>
      </c>
    </row>
    <row r="270" spans="1:64" x14ac:dyDescent="0.25">
      <c r="A270" s="5"/>
      <c r="C270" s="87" t="s">
        <v>461</v>
      </c>
      <c r="D270" s="88"/>
      <c r="E270" s="88"/>
      <c r="G270" s="22">
        <v>29.16</v>
      </c>
      <c r="L270" s="34"/>
      <c r="M270" s="5"/>
    </row>
    <row r="271" spans="1:64" x14ac:dyDescent="0.25">
      <c r="A271" s="5"/>
      <c r="C271" s="87" t="s">
        <v>462</v>
      </c>
      <c r="D271" s="88"/>
      <c r="E271" s="88"/>
      <c r="G271" s="22">
        <v>17.28</v>
      </c>
      <c r="L271" s="34"/>
      <c r="M271" s="5"/>
    </row>
    <row r="272" spans="1:64" x14ac:dyDescent="0.25">
      <c r="A272" s="4" t="s">
        <v>87</v>
      </c>
      <c r="B272" s="14" t="s">
        <v>193</v>
      </c>
      <c r="C272" s="85" t="s">
        <v>463</v>
      </c>
      <c r="D272" s="86"/>
      <c r="E272" s="86"/>
      <c r="F272" s="14" t="s">
        <v>497</v>
      </c>
      <c r="G272" s="21">
        <v>4</v>
      </c>
      <c r="H272" s="21">
        <v>0</v>
      </c>
      <c r="I272" s="21">
        <f>G272*AO272</f>
        <v>0</v>
      </c>
      <c r="J272" s="21">
        <f>G272*AP272</f>
        <v>0</v>
      </c>
      <c r="K272" s="21">
        <f>G272*H272</f>
        <v>0</v>
      </c>
      <c r="L272" s="33" t="s">
        <v>517</v>
      </c>
      <c r="M272" s="5"/>
      <c r="Z272" s="40">
        <f>IF(AQ272="5",BJ272,0)</f>
        <v>0</v>
      </c>
      <c r="AB272" s="40">
        <f>IF(AQ272="1",BH272,0)</f>
        <v>0</v>
      </c>
      <c r="AC272" s="40">
        <f>IF(AQ272="1",BI272,0)</f>
        <v>0</v>
      </c>
      <c r="AD272" s="40">
        <f>IF(AQ272="7",BH272,0)</f>
        <v>0</v>
      </c>
      <c r="AE272" s="40">
        <f>IF(AQ272="7",BI272,0)</f>
        <v>0</v>
      </c>
      <c r="AF272" s="40">
        <f>IF(AQ272="2",BH272,0)</f>
        <v>0</v>
      </c>
      <c r="AG272" s="40">
        <f>IF(AQ272="2",BI272,0)</f>
        <v>0</v>
      </c>
      <c r="AH272" s="40">
        <f>IF(AQ272="0",BJ272,0)</f>
        <v>0</v>
      </c>
      <c r="AI272" s="39"/>
      <c r="AJ272" s="21">
        <f>IF(AN272=0,K272,0)</f>
        <v>0</v>
      </c>
      <c r="AK272" s="21">
        <f>IF(AN272=15,K272,0)</f>
        <v>0</v>
      </c>
      <c r="AL272" s="21">
        <f>IF(AN272=21,K272,0)</f>
        <v>0</v>
      </c>
      <c r="AN272" s="40">
        <v>15</v>
      </c>
      <c r="AO272" s="40">
        <f>H272*0</f>
        <v>0</v>
      </c>
      <c r="AP272" s="40">
        <f>H272*(1-0)</f>
        <v>0</v>
      </c>
      <c r="AQ272" s="41" t="s">
        <v>7</v>
      </c>
      <c r="AV272" s="40">
        <f>AW272+AX272</f>
        <v>0</v>
      </c>
      <c r="AW272" s="40">
        <f>G272*AO272</f>
        <v>0</v>
      </c>
      <c r="AX272" s="40">
        <f>G272*AP272</f>
        <v>0</v>
      </c>
      <c r="AY272" s="43" t="s">
        <v>543</v>
      </c>
      <c r="AZ272" s="43" t="s">
        <v>556</v>
      </c>
      <c r="BA272" s="39" t="s">
        <v>557</v>
      </c>
      <c r="BC272" s="40">
        <f>AW272+AX272</f>
        <v>0</v>
      </c>
      <c r="BD272" s="40">
        <f>H272/(100-BE272)*100</f>
        <v>0</v>
      </c>
      <c r="BE272" s="40">
        <v>0</v>
      </c>
      <c r="BF272" s="40">
        <f>272</f>
        <v>272</v>
      </c>
      <c r="BH272" s="21">
        <f>G272*AO272</f>
        <v>0</v>
      </c>
      <c r="BI272" s="21">
        <f>G272*AP272</f>
        <v>0</v>
      </c>
      <c r="BJ272" s="21">
        <f>G272*H272</f>
        <v>0</v>
      </c>
      <c r="BK272" s="21" t="s">
        <v>562</v>
      </c>
      <c r="BL272" s="40">
        <v>96</v>
      </c>
    </row>
    <row r="273" spans="1:64" x14ac:dyDescent="0.25">
      <c r="A273" s="5"/>
      <c r="C273" s="87" t="s">
        <v>464</v>
      </c>
      <c r="D273" s="88"/>
      <c r="E273" s="88"/>
      <c r="G273" s="22">
        <v>4</v>
      </c>
      <c r="L273" s="34"/>
      <c r="M273" s="5"/>
    </row>
    <row r="274" spans="1:64" x14ac:dyDescent="0.25">
      <c r="A274" s="4" t="s">
        <v>88</v>
      </c>
      <c r="B274" s="14" t="s">
        <v>194</v>
      </c>
      <c r="C274" s="85" t="s">
        <v>465</v>
      </c>
      <c r="D274" s="86"/>
      <c r="E274" s="86"/>
      <c r="F274" s="14" t="s">
        <v>495</v>
      </c>
      <c r="G274" s="21">
        <v>5.7104999999999997</v>
      </c>
      <c r="H274" s="21">
        <v>0</v>
      </c>
      <c r="I274" s="21">
        <f>G274*AO274</f>
        <v>0</v>
      </c>
      <c r="J274" s="21">
        <f>G274*AP274</f>
        <v>0</v>
      </c>
      <c r="K274" s="21">
        <f>G274*H274</f>
        <v>0</v>
      </c>
      <c r="L274" s="33" t="s">
        <v>517</v>
      </c>
      <c r="M274" s="5"/>
      <c r="Z274" s="40">
        <f>IF(AQ274="5",BJ274,0)</f>
        <v>0</v>
      </c>
      <c r="AB274" s="40">
        <f>IF(AQ274="1",BH274,0)</f>
        <v>0</v>
      </c>
      <c r="AC274" s="40">
        <f>IF(AQ274="1",BI274,0)</f>
        <v>0</v>
      </c>
      <c r="AD274" s="40">
        <f>IF(AQ274="7",BH274,0)</f>
        <v>0</v>
      </c>
      <c r="AE274" s="40">
        <f>IF(AQ274="7",BI274,0)</f>
        <v>0</v>
      </c>
      <c r="AF274" s="40">
        <f>IF(AQ274="2",BH274,0)</f>
        <v>0</v>
      </c>
      <c r="AG274" s="40">
        <f>IF(AQ274="2",BI274,0)</f>
        <v>0</v>
      </c>
      <c r="AH274" s="40">
        <f>IF(AQ274="0",BJ274,0)</f>
        <v>0</v>
      </c>
      <c r="AI274" s="39"/>
      <c r="AJ274" s="21">
        <f>IF(AN274=0,K274,0)</f>
        <v>0</v>
      </c>
      <c r="AK274" s="21">
        <f>IF(AN274=15,K274,0)</f>
        <v>0</v>
      </c>
      <c r="AL274" s="21">
        <f>IF(AN274=21,K274,0)</f>
        <v>0</v>
      </c>
      <c r="AN274" s="40">
        <v>15</v>
      </c>
      <c r="AO274" s="40">
        <f>H274*0.0790379671575542</f>
        <v>0</v>
      </c>
      <c r="AP274" s="40">
        <f>H274*(1-0.0790379671575542)</f>
        <v>0</v>
      </c>
      <c r="AQ274" s="41" t="s">
        <v>7</v>
      </c>
      <c r="AV274" s="40">
        <f>AW274+AX274</f>
        <v>0</v>
      </c>
      <c r="AW274" s="40">
        <f>G274*AO274</f>
        <v>0</v>
      </c>
      <c r="AX274" s="40">
        <f>G274*AP274</f>
        <v>0</v>
      </c>
      <c r="AY274" s="43" t="s">
        <v>543</v>
      </c>
      <c r="AZ274" s="43" t="s">
        <v>556</v>
      </c>
      <c r="BA274" s="39" t="s">
        <v>557</v>
      </c>
      <c r="BC274" s="40">
        <f>AW274+AX274</f>
        <v>0</v>
      </c>
      <c r="BD274" s="40">
        <f>H274/(100-BE274)*100</f>
        <v>0</v>
      </c>
      <c r="BE274" s="40">
        <v>0</v>
      </c>
      <c r="BF274" s="40">
        <f>274</f>
        <v>274</v>
      </c>
      <c r="BH274" s="21">
        <f>G274*AO274</f>
        <v>0</v>
      </c>
      <c r="BI274" s="21">
        <f>G274*AP274</f>
        <v>0</v>
      </c>
      <c r="BJ274" s="21">
        <f>G274*H274</f>
        <v>0</v>
      </c>
      <c r="BK274" s="21" t="s">
        <v>562</v>
      </c>
      <c r="BL274" s="40">
        <v>96</v>
      </c>
    </row>
    <row r="275" spans="1:64" x14ac:dyDescent="0.25">
      <c r="A275" s="5"/>
      <c r="C275" s="87" t="s">
        <v>466</v>
      </c>
      <c r="D275" s="88"/>
      <c r="E275" s="88"/>
      <c r="G275" s="22">
        <v>5.7104999999999997</v>
      </c>
      <c r="L275" s="34"/>
      <c r="M275" s="5"/>
    </row>
    <row r="276" spans="1:64" x14ac:dyDescent="0.25">
      <c r="A276" s="4" t="s">
        <v>89</v>
      </c>
      <c r="B276" s="14" t="s">
        <v>195</v>
      </c>
      <c r="C276" s="85" t="s">
        <v>467</v>
      </c>
      <c r="D276" s="86"/>
      <c r="E276" s="86"/>
      <c r="F276" s="14" t="s">
        <v>496</v>
      </c>
      <c r="G276" s="21">
        <v>81.8</v>
      </c>
      <c r="H276" s="21">
        <v>0</v>
      </c>
      <c r="I276" s="21">
        <f>G276*AO276</f>
        <v>0</v>
      </c>
      <c r="J276" s="21">
        <f>G276*AP276</f>
        <v>0</v>
      </c>
      <c r="K276" s="21">
        <f>G276*H276</f>
        <v>0</v>
      </c>
      <c r="L276" s="33" t="s">
        <v>517</v>
      </c>
      <c r="M276" s="5"/>
      <c r="Z276" s="40">
        <f>IF(AQ276="5",BJ276,0)</f>
        <v>0</v>
      </c>
      <c r="AB276" s="40">
        <f>IF(AQ276="1",BH276,0)</f>
        <v>0</v>
      </c>
      <c r="AC276" s="40">
        <f>IF(AQ276="1",BI276,0)</f>
        <v>0</v>
      </c>
      <c r="AD276" s="40">
        <f>IF(AQ276="7",BH276,0)</f>
        <v>0</v>
      </c>
      <c r="AE276" s="40">
        <f>IF(AQ276="7",BI276,0)</f>
        <v>0</v>
      </c>
      <c r="AF276" s="40">
        <f>IF(AQ276="2",BH276,0)</f>
        <v>0</v>
      </c>
      <c r="AG276" s="40">
        <f>IF(AQ276="2",BI276,0)</f>
        <v>0</v>
      </c>
      <c r="AH276" s="40">
        <f>IF(AQ276="0",BJ276,0)</f>
        <v>0</v>
      </c>
      <c r="AI276" s="39"/>
      <c r="AJ276" s="21">
        <f>IF(AN276=0,K276,0)</f>
        <v>0</v>
      </c>
      <c r="AK276" s="21">
        <f>IF(AN276=15,K276,0)</f>
        <v>0</v>
      </c>
      <c r="AL276" s="21">
        <f>IF(AN276=21,K276,0)</f>
        <v>0</v>
      </c>
      <c r="AN276" s="40">
        <v>15</v>
      </c>
      <c r="AO276" s="40">
        <f>H276*0</f>
        <v>0</v>
      </c>
      <c r="AP276" s="40">
        <f>H276*(1-0)</f>
        <v>0</v>
      </c>
      <c r="AQ276" s="41" t="s">
        <v>7</v>
      </c>
      <c r="AV276" s="40">
        <f>AW276+AX276</f>
        <v>0</v>
      </c>
      <c r="AW276" s="40">
        <f>G276*AO276</f>
        <v>0</v>
      </c>
      <c r="AX276" s="40">
        <f>G276*AP276</f>
        <v>0</v>
      </c>
      <c r="AY276" s="43" t="s">
        <v>543</v>
      </c>
      <c r="AZ276" s="43" t="s">
        <v>556</v>
      </c>
      <c r="BA276" s="39" t="s">
        <v>557</v>
      </c>
      <c r="BC276" s="40">
        <f>AW276+AX276</f>
        <v>0</v>
      </c>
      <c r="BD276" s="40">
        <f>H276/(100-BE276)*100</f>
        <v>0</v>
      </c>
      <c r="BE276" s="40">
        <v>0</v>
      </c>
      <c r="BF276" s="40">
        <f>276</f>
        <v>276</v>
      </c>
      <c r="BH276" s="21">
        <f>G276*AO276</f>
        <v>0</v>
      </c>
      <c r="BI276" s="21">
        <f>G276*AP276</f>
        <v>0</v>
      </c>
      <c r="BJ276" s="21">
        <f>G276*H276</f>
        <v>0</v>
      </c>
      <c r="BK276" s="21" t="s">
        <v>562</v>
      </c>
      <c r="BL276" s="40">
        <v>96</v>
      </c>
    </row>
    <row r="277" spans="1:64" x14ac:dyDescent="0.25">
      <c r="A277" s="5"/>
      <c r="C277" s="87" t="s">
        <v>362</v>
      </c>
      <c r="D277" s="88"/>
      <c r="E277" s="88"/>
      <c r="G277" s="22">
        <v>81.8</v>
      </c>
      <c r="L277" s="34"/>
      <c r="M277" s="5"/>
    </row>
    <row r="278" spans="1:64" x14ac:dyDescent="0.25">
      <c r="A278" s="4" t="s">
        <v>90</v>
      </c>
      <c r="B278" s="14" t="s">
        <v>196</v>
      </c>
      <c r="C278" s="85" t="s">
        <v>468</v>
      </c>
      <c r="D278" s="86"/>
      <c r="E278" s="86"/>
      <c r="F278" s="14" t="s">
        <v>497</v>
      </c>
      <c r="G278" s="21">
        <v>2</v>
      </c>
      <c r="H278" s="21">
        <v>0</v>
      </c>
      <c r="I278" s="21">
        <f>G278*AO278</f>
        <v>0</v>
      </c>
      <c r="J278" s="21">
        <f>G278*AP278</f>
        <v>0</v>
      </c>
      <c r="K278" s="21">
        <f>G278*H278</f>
        <v>0</v>
      </c>
      <c r="L278" s="33"/>
      <c r="M278" s="5"/>
      <c r="Z278" s="40">
        <f>IF(AQ278="5",BJ278,0)</f>
        <v>0</v>
      </c>
      <c r="AB278" s="40">
        <f>IF(AQ278="1",BH278,0)</f>
        <v>0</v>
      </c>
      <c r="AC278" s="40">
        <f>IF(AQ278="1",BI278,0)</f>
        <v>0</v>
      </c>
      <c r="AD278" s="40">
        <f>IF(AQ278="7",BH278,0)</f>
        <v>0</v>
      </c>
      <c r="AE278" s="40">
        <f>IF(AQ278="7",BI278,0)</f>
        <v>0</v>
      </c>
      <c r="AF278" s="40">
        <f>IF(AQ278="2",BH278,0)</f>
        <v>0</v>
      </c>
      <c r="AG278" s="40">
        <f>IF(AQ278="2",BI278,0)</f>
        <v>0</v>
      </c>
      <c r="AH278" s="40">
        <f>IF(AQ278="0",BJ278,0)</f>
        <v>0</v>
      </c>
      <c r="AI278" s="39"/>
      <c r="AJ278" s="21">
        <f>IF(AN278=0,K278,0)</f>
        <v>0</v>
      </c>
      <c r="AK278" s="21">
        <f>IF(AN278=15,K278,0)</f>
        <v>0</v>
      </c>
      <c r="AL278" s="21">
        <f>IF(AN278=21,K278,0)</f>
        <v>0</v>
      </c>
      <c r="AN278" s="40">
        <v>15</v>
      </c>
      <c r="AO278" s="40">
        <f>H278*0</f>
        <v>0</v>
      </c>
      <c r="AP278" s="40">
        <f>H278*(1-0)</f>
        <v>0</v>
      </c>
      <c r="AQ278" s="41" t="s">
        <v>7</v>
      </c>
      <c r="AV278" s="40">
        <f>AW278+AX278</f>
        <v>0</v>
      </c>
      <c r="AW278" s="40">
        <f>G278*AO278</f>
        <v>0</v>
      </c>
      <c r="AX278" s="40">
        <f>G278*AP278</f>
        <v>0</v>
      </c>
      <c r="AY278" s="43" t="s">
        <v>543</v>
      </c>
      <c r="AZ278" s="43" t="s">
        <v>556</v>
      </c>
      <c r="BA278" s="39" t="s">
        <v>557</v>
      </c>
      <c r="BC278" s="40">
        <f>AW278+AX278</f>
        <v>0</v>
      </c>
      <c r="BD278" s="40">
        <f>H278/(100-BE278)*100</f>
        <v>0</v>
      </c>
      <c r="BE278" s="40">
        <v>0</v>
      </c>
      <c r="BF278" s="40">
        <f>278</f>
        <v>278</v>
      </c>
      <c r="BH278" s="21">
        <f>G278*AO278</f>
        <v>0</v>
      </c>
      <c r="BI278" s="21">
        <f>G278*AP278</f>
        <v>0</v>
      </c>
      <c r="BJ278" s="21">
        <f>G278*H278</f>
        <v>0</v>
      </c>
      <c r="BK278" s="21" t="s">
        <v>562</v>
      </c>
      <c r="BL278" s="40">
        <v>96</v>
      </c>
    </row>
    <row r="279" spans="1:64" x14ac:dyDescent="0.25">
      <c r="A279" s="5"/>
      <c r="C279" s="87" t="s">
        <v>469</v>
      </c>
      <c r="D279" s="88"/>
      <c r="E279" s="88"/>
      <c r="G279" s="22">
        <v>2</v>
      </c>
      <c r="L279" s="34"/>
      <c r="M279" s="5"/>
    </row>
    <row r="280" spans="1:64" x14ac:dyDescent="0.25">
      <c r="A280" s="6"/>
      <c r="B280" s="15" t="s">
        <v>197</v>
      </c>
      <c r="C280" s="83" t="s">
        <v>470</v>
      </c>
      <c r="D280" s="84"/>
      <c r="E280" s="84"/>
      <c r="F280" s="19" t="s">
        <v>6</v>
      </c>
      <c r="G280" s="19" t="s">
        <v>6</v>
      </c>
      <c r="H280" s="19" t="s">
        <v>6</v>
      </c>
      <c r="I280" s="46">
        <f>SUM(I281:I281)</f>
        <v>0</v>
      </c>
      <c r="J280" s="46">
        <f>SUM(J281:J281)</f>
        <v>0</v>
      </c>
      <c r="K280" s="46">
        <f>SUM(K281:K281)</f>
        <v>0</v>
      </c>
      <c r="L280" s="35"/>
      <c r="M280" s="5"/>
      <c r="AI280" s="39"/>
      <c r="AS280" s="46">
        <f>SUM(AJ281:AJ281)</f>
        <v>0</v>
      </c>
      <c r="AT280" s="46">
        <f>SUM(AK281:AK281)</f>
        <v>0</v>
      </c>
      <c r="AU280" s="46">
        <f>SUM(AL281:AL281)</f>
        <v>0</v>
      </c>
    </row>
    <row r="281" spans="1:64" x14ac:dyDescent="0.25">
      <c r="A281" s="4" t="s">
        <v>91</v>
      </c>
      <c r="B281" s="14" t="s">
        <v>198</v>
      </c>
      <c r="C281" s="85" t="s">
        <v>471</v>
      </c>
      <c r="D281" s="86"/>
      <c r="E281" s="86"/>
      <c r="F281" s="14" t="s">
        <v>495</v>
      </c>
      <c r="G281" s="21">
        <v>930.98</v>
      </c>
      <c r="H281" s="21">
        <v>0</v>
      </c>
      <c r="I281" s="21">
        <f>G281*AO281</f>
        <v>0</v>
      </c>
      <c r="J281" s="21">
        <f>G281*AP281</f>
        <v>0</v>
      </c>
      <c r="K281" s="21">
        <f>G281*H281</f>
        <v>0</v>
      </c>
      <c r="L281" s="33" t="s">
        <v>517</v>
      </c>
      <c r="M281" s="5"/>
      <c r="Z281" s="40">
        <f>IF(AQ281="5",BJ281,0)</f>
        <v>0</v>
      </c>
      <c r="AB281" s="40">
        <f>IF(AQ281="1",BH281,0)</f>
        <v>0</v>
      </c>
      <c r="AC281" s="40">
        <f>IF(AQ281="1",BI281,0)</f>
        <v>0</v>
      </c>
      <c r="AD281" s="40">
        <f>IF(AQ281="7",BH281,0)</f>
        <v>0</v>
      </c>
      <c r="AE281" s="40">
        <f>IF(AQ281="7",BI281,0)</f>
        <v>0</v>
      </c>
      <c r="AF281" s="40">
        <f>IF(AQ281="2",BH281,0)</f>
        <v>0</v>
      </c>
      <c r="AG281" s="40">
        <f>IF(AQ281="2",BI281,0)</f>
        <v>0</v>
      </c>
      <c r="AH281" s="40">
        <f>IF(AQ281="0",BJ281,0)</f>
        <v>0</v>
      </c>
      <c r="AI281" s="39"/>
      <c r="AJ281" s="21">
        <f>IF(AN281=0,K281,0)</f>
        <v>0</v>
      </c>
      <c r="AK281" s="21">
        <f>IF(AN281=15,K281,0)</f>
        <v>0</v>
      </c>
      <c r="AL281" s="21">
        <f>IF(AN281=21,K281,0)</f>
        <v>0</v>
      </c>
      <c r="AN281" s="40">
        <v>15</v>
      </c>
      <c r="AO281" s="40">
        <f>H281*0</f>
        <v>0</v>
      </c>
      <c r="AP281" s="40">
        <f>H281*(1-0)</f>
        <v>0</v>
      </c>
      <c r="AQ281" s="41" t="s">
        <v>7</v>
      </c>
      <c r="AV281" s="40">
        <f>AW281+AX281</f>
        <v>0</v>
      </c>
      <c r="AW281" s="40">
        <f>G281*AO281</f>
        <v>0</v>
      </c>
      <c r="AX281" s="40">
        <f>G281*AP281</f>
        <v>0</v>
      </c>
      <c r="AY281" s="43" t="s">
        <v>544</v>
      </c>
      <c r="AZ281" s="43" t="s">
        <v>556</v>
      </c>
      <c r="BA281" s="39" t="s">
        <v>557</v>
      </c>
      <c r="BC281" s="40">
        <f>AW281+AX281</f>
        <v>0</v>
      </c>
      <c r="BD281" s="40">
        <f>H281/(100-BE281)*100</f>
        <v>0</v>
      </c>
      <c r="BE281" s="40">
        <v>0</v>
      </c>
      <c r="BF281" s="40">
        <f>281</f>
        <v>281</v>
      </c>
      <c r="BH281" s="21">
        <f>G281*AO281</f>
        <v>0</v>
      </c>
      <c r="BI281" s="21">
        <f>G281*AP281</f>
        <v>0</v>
      </c>
      <c r="BJ281" s="21">
        <f>G281*H281</f>
        <v>0</v>
      </c>
      <c r="BK281" s="21" t="s">
        <v>562</v>
      </c>
      <c r="BL281" s="40">
        <v>97</v>
      </c>
    </row>
    <row r="282" spans="1:64" x14ac:dyDescent="0.25">
      <c r="A282" s="5"/>
      <c r="C282" s="87" t="s">
        <v>302</v>
      </c>
      <c r="D282" s="88"/>
      <c r="E282" s="88"/>
      <c r="G282" s="22">
        <v>930.98</v>
      </c>
      <c r="L282" s="34"/>
      <c r="M282" s="5"/>
    </row>
    <row r="283" spans="1:64" x14ac:dyDescent="0.25">
      <c r="A283" s="6"/>
      <c r="B283" s="15" t="s">
        <v>199</v>
      </c>
      <c r="C283" s="83" t="s">
        <v>472</v>
      </c>
      <c r="D283" s="84"/>
      <c r="E283" s="84"/>
      <c r="F283" s="19" t="s">
        <v>6</v>
      </c>
      <c r="G283" s="19" t="s">
        <v>6</v>
      </c>
      <c r="H283" s="19" t="s">
        <v>6</v>
      </c>
      <c r="I283" s="46">
        <f>SUM(I284:I284)</f>
        <v>0</v>
      </c>
      <c r="J283" s="46">
        <f>SUM(J284:J284)</f>
        <v>0</v>
      </c>
      <c r="K283" s="46">
        <f>SUM(K284:K284)</f>
        <v>0</v>
      </c>
      <c r="L283" s="35"/>
      <c r="M283" s="5"/>
      <c r="AI283" s="39"/>
      <c r="AS283" s="46">
        <f>SUM(AJ284:AJ284)</f>
        <v>0</v>
      </c>
      <c r="AT283" s="46">
        <f>SUM(AK284:AK284)</f>
        <v>0</v>
      </c>
      <c r="AU283" s="46">
        <f>SUM(AL284:AL284)</f>
        <v>0</v>
      </c>
    </row>
    <row r="284" spans="1:64" x14ac:dyDescent="0.25">
      <c r="A284" s="4" t="s">
        <v>92</v>
      </c>
      <c r="B284" s="14" t="s">
        <v>200</v>
      </c>
      <c r="C284" s="85" t="s">
        <v>473</v>
      </c>
      <c r="D284" s="86"/>
      <c r="E284" s="86"/>
      <c r="F284" s="14" t="s">
        <v>499</v>
      </c>
      <c r="G284" s="21">
        <v>99.773780000000002</v>
      </c>
      <c r="H284" s="21">
        <v>0</v>
      </c>
      <c r="I284" s="21">
        <f>G284*AO284</f>
        <v>0</v>
      </c>
      <c r="J284" s="21">
        <f>G284*AP284</f>
        <v>0</v>
      </c>
      <c r="K284" s="21">
        <f>G284*H284</f>
        <v>0</v>
      </c>
      <c r="L284" s="33" t="s">
        <v>517</v>
      </c>
      <c r="M284" s="5"/>
      <c r="Z284" s="40">
        <f>IF(AQ284="5",BJ284,0)</f>
        <v>0</v>
      </c>
      <c r="AB284" s="40">
        <f>IF(AQ284="1",BH284,0)</f>
        <v>0</v>
      </c>
      <c r="AC284" s="40">
        <f>IF(AQ284="1",BI284,0)</f>
        <v>0</v>
      </c>
      <c r="AD284" s="40">
        <f>IF(AQ284="7",BH284,0)</f>
        <v>0</v>
      </c>
      <c r="AE284" s="40">
        <f>IF(AQ284="7",BI284,0)</f>
        <v>0</v>
      </c>
      <c r="AF284" s="40">
        <f>IF(AQ284="2",BH284,0)</f>
        <v>0</v>
      </c>
      <c r="AG284" s="40">
        <f>IF(AQ284="2",BI284,0)</f>
        <v>0</v>
      </c>
      <c r="AH284" s="40">
        <f>IF(AQ284="0",BJ284,0)</f>
        <v>0</v>
      </c>
      <c r="AI284" s="39"/>
      <c r="AJ284" s="21">
        <f>IF(AN284=0,K284,0)</f>
        <v>0</v>
      </c>
      <c r="AK284" s="21">
        <f>IF(AN284=15,K284,0)</f>
        <v>0</v>
      </c>
      <c r="AL284" s="21">
        <f>IF(AN284=21,K284,0)</f>
        <v>0</v>
      </c>
      <c r="AN284" s="40">
        <v>15</v>
      </c>
      <c r="AO284" s="40">
        <f>H284*0</f>
        <v>0</v>
      </c>
      <c r="AP284" s="40">
        <f>H284*(1-0)</f>
        <v>0</v>
      </c>
      <c r="AQ284" s="41" t="s">
        <v>11</v>
      </c>
      <c r="AV284" s="40">
        <f>AW284+AX284</f>
        <v>0</v>
      </c>
      <c r="AW284" s="40">
        <f>G284*AO284</f>
        <v>0</v>
      </c>
      <c r="AX284" s="40">
        <f>G284*AP284</f>
        <v>0</v>
      </c>
      <c r="AY284" s="43" t="s">
        <v>545</v>
      </c>
      <c r="AZ284" s="43" t="s">
        <v>556</v>
      </c>
      <c r="BA284" s="39" t="s">
        <v>557</v>
      </c>
      <c r="BC284" s="40">
        <f>AW284+AX284</f>
        <v>0</v>
      </c>
      <c r="BD284" s="40">
        <f>H284/(100-BE284)*100</f>
        <v>0</v>
      </c>
      <c r="BE284" s="40">
        <v>0</v>
      </c>
      <c r="BF284" s="40">
        <f>284</f>
        <v>284</v>
      </c>
      <c r="BH284" s="21">
        <f>G284*AO284</f>
        <v>0</v>
      </c>
      <c r="BI284" s="21">
        <f>G284*AP284</f>
        <v>0</v>
      </c>
      <c r="BJ284" s="21">
        <f>G284*H284</f>
        <v>0</v>
      </c>
      <c r="BK284" s="21" t="s">
        <v>562</v>
      </c>
      <c r="BL284" s="40" t="s">
        <v>199</v>
      </c>
    </row>
    <row r="285" spans="1:64" x14ac:dyDescent="0.25">
      <c r="A285" s="5"/>
      <c r="C285" s="87" t="s">
        <v>474</v>
      </c>
      <c r="D285" s="88"/>
      <c r="E285" s="88"/>
      <c r="G285" s="22">
        <v>99.773780000000002</v>
      </c>
      <c r="L285" s="34"/>
      <c r="M285" s="5"/>
    </row>
    <row r="286" spans="1:64" x14ac:dyDescent="0.25">
      <c r="A286" s="6"/>
      <c r="B286" s="15" t="s">
        <v>201</v>
      </c>
      <c r="C286" s="83" t="s">
        <v>475</v>
      </c>
      <c r="D286" s="84"/>
      <c r="E286" s="84"/>
      <c r="F286" s="19" t="s">
        <v>6</v>
      </c>
      <c r="G286" s="19" t="s">
        <v>6</v>
      </c>
      <c r="H286" s="19" t="s">
        <v>6</v>
      </c>
      <c r="I286" s="46">
        <f>SUM(I287:I287)</f>
        <v>0</v>
      </c>
      <c r="J286" s="46">
        <f>SUM(J287:J287)</f>
        <v>0</v>
      </c>
      <c r="K286" s="46">
        <f>SUM(K287:K287)</f>
        <v>0</v>
      </c>
      <c r="L286" s="35"/>
      <c r="M286" s="5"/>
      <c r="AI286" s="39"/>
      <c r="AS286" s="46">
        <f>SUM(AJ287:AJ287)</f>
        <v>0</v>
      </c>
      <c r="AT286" s="46">
        <f>SUM(AK287:AK287)</f>
        <v>0</v>
      </c>
      <c r="AU286" s="46">
        <f>SUM(AL287:AL287)</f>
        <v>0</v>
      </c>
    </row>
    <row r="287" spans="1:64" x14ac:dyDescent="0.25">
      <c r="A287" s="4" t="s">
        <v>93</v>
      </c>
      <c r="B287" s="14" t="s">
        <v>202</v>
      </c>
      <c r="C287" s="85" t="s">
        <v>476</v>
      </c>
      <c r="D287" s="86"/>
      <c r="E287" s="86"/>
      <c r="F287" s="14" t="s">
        <v>495</v>
      </c>
      <c r="G287" s="21">
        <v>106</v>
      </c>
      <c r="H287" s="21">
        <v>0</v>
      </c>
      <c r="I287" s="21">
        <f>G287*AO287</f>
        <v>0</v>
      </c>
      <c r="J287" s="21">
        <f>G287*AP287</f>
        <v>0</v>
      </c>
      <c r="K287" s="21">
        <f>G287*H287</f>
        <v>0</v>
      </c>
      <c r="L287" s="33" t="s">
        <v>517</v>
      </c>
      <c r="M287" s="5"/>
      <c r="Z287" s="40">
        <f>IF(AQ287="5",BJ287,0)</f>
        <v>0</v>
      </c>
      <c r="AB287" s="40">
        <f>IF(AQ287="1",BH287,0)</f>
        <v>0</v>
      </c>
      <c r="AC287" s="40">
        <f>IF(AQ287="1",BI287,0)</f>
        <v>0</v>
      </c>
      <c r="AD287" s="40">
        <f>IF(AQ287="7",BH287,0)</f>
        <v>0</v>
      </c>
      <c r="AE287" s="40">
        <f>IF(AQ287="7",BI287,0)</f>
        <v>0</v>
      </c>
      <c r="AF287" s="40">
        <f>IF(AQ287="2",BH287,0)</f>
        <v>0</v>
      </c>
      <c r="AG287" s="40">
        <f>IF(AQ287="2",BI287,0)</f>
        <v>0</v>
      </c>
      <c r="AH287" s="40">
        <f>IF(AQ287="0",BJ287,0)</f>
        <v>0</v>
      </c>
      <c r="AI287" s="39"/>
      <c r="AJ287" s="21">
        <f>IF(AN287=0,K287,0)</f>
        <v>0</v>
      </c>
      <c r="AK287" s="21">
        <f>IF(AN287=15,K287,0)</f>
        <v>0</v>
      </c>
      <c r="AL287" s="21">
        <f>IF(AN287=21,K287,0)</f>
        <v>0</v>
      </c>
      <c r="AN287" s="40">
        <v>15</v>
      </c>
      <c r="AO287" s="40">
        <f>H287*0.108695652173913</f>
        <v>0</v>
      </c>
      <c r="AP287" s="40">
        <f>H287*(1-0.108695652173913)</f>
        <v>0</v>
      </c>
      <c r="AQ287" s="41" t="s">
        <v>8</v>
      </c>
      <c r="AV287" s="40">
        <f>AW287+AX287</f>
        <v>0</v>
      </c>
      <c r="AW287" s="40">
        <f>G287*AO287</f>
        <v>0</v>
      </c>
      <c r="AX287" s="40">
        <f>G287*AP287</f>
        <v>0</v>
      </c>
      <c r="AY287" s="43" t="s">
        <v>546</v>
      </c>
      <c r="AZ287" s="43" t="s">
        <v>556</v>
      </c>
      <c r="BA287" s="39" t="s">
        <v>557</v>
      </c>
      <c r="BC287" s="40">
        <f>AW287+AX287</f>
        <v>0</v>
      </c>
      <c r="BD287" s="40">
        <f>H287/(100-BE287)*100</f>
        <v>0</v>
      </c>
      <c r="BE287" s="40">
        <v>0</v>
      </c>
      <c r="BF287" s="40">
        <f>287</f>
        <v>287</v>
      </c>
      <c r="BH287" s="21">
        <f>G287*AO287</f>
        <v>0</v>
      </c>
      <c r="BI287" s="21">
        <f>G287*AP287</f>
        <v>0</v>
      </c>
      <c r="BJ287" s="21">
        <f>G287*H287</f>
        <v>0</v>
      </c>
      <c r="BK287" s="21" t="s">
        <v>562</v>
      </c>
      <c r="BL287" s="40" t="s">
        <v>201</v>
      </c>
    </row>
    <row r="288" spans="1:64" x14ac:dyDescent="0.25">
      <c r="A288" s="5"/>
      <c r="C288" s="87" t="s">
        <v>477</v>
      </c>
      <c r="D288" s="88"/>
      <c r="E288" s="88"/>
      <c r="G288" s="22">
        <v>106</v>
      </c>
      <c r="L288" s="34"/>
      <c r="M288" s="5"/>
    </row>
    <row r="289" spans="1:64" x14ac:dyDescent="0.25">
      <c r="A289" s="6"/>
      <c r="B289" s="15" t="s">
        <v>203</v>
      </c>
      <c r="C289" s="83" t="s">
        <v>478</v>
      </c>
      <c r="D289" s="84"/>
      <c r="E289" s="84"/>
      <c r="F289" s="19" t="s">
        <v>6</v>
      </c>
      <c r="G289" s="19" t="s">
        <v>6</v>
      </c>
      <c r="H289" s="19" t="s">
        <v>6</v>
      </c>
      <c r="I289" s="46">
        <f>SUM(I290:I302)</f>
        <v>0</v>
      </c>
      <c r="J289" s="46">
        <f>SUM(J290:J302)</f>
        <v>0</v>
      </c>
      <c r="K289" s="46">
        <f>SUM(K290:K302)</f>
        <v>0</v>
      </c>
      <c r="L289" s="35"/>
      <c r="M289" s="5"/>
      <c r="AI289" s="39"/>
      <c r="AS289" s="46">
        <f>SUM(AJ290:AJ302)</f>
        <v>0</v>
      </c>
      <c r="AT289" s="46">
        <f>SUM(AK290:AK302)</f>
        <v>0</v>
      </c>
      <c r="AU289" s="46">
        <f>SUM(AL290:AL302)</f>
        <v>0</v>
      </c>
    </row>
    <row r="290" spans="1:64" x14ac:dyDescent="0.25">
      <c r="A290" s="4" t="s">
        <v>94</v>
      </c>
      <c r="B290" s="14" t="s">
        <v>204</v>
      </c>
      <c r="C290" s="85" t="s">
        <v>479</v>
      </c>
      <c r="D290" s="86"/>
      <c r="E290" s="86"/>
      <c r="F290" s="14" t="s">
        <v>499</v>
      </c>
      <c r="G290" s="21">
        <v>63.635210000000001</v>
      </c>
      <c r="H290" s="21">
        <v>0</v>
      </c>
      <c r="I290" s="21">
        <f>G290*AO290</f>
        <v>0</v>
      </c>
      <c r="J290" s="21">
        <f>G290*AP290</f>
        <v>0</v>
      </c>
      <c r="K290" s="21">
        <f>G290*H290</f>
        <v>0</v>
      </c>
      <c r="L290" s="33" t="s">
        <v>517</v>
      </c>
      <c r="M290" s="5"/>
      <c r="Z290" s="40">
        <f>IF(AQ290="5",BJ290,0)</f>
        <v>0</v>
      </c>
      <c r="AB290" s="40">
        <f>IF(AQ290="1",BH290,0)</f>
        <v>0</v>
      </c>
      <c r="AC290" s="40">
        <f>IF(AQ290="1",BI290,0)</f>
        <v>0</v>
      </c>
      <c r="AD290" s="40">
        <f>IF(AQ290="7",BH290,0)</f>
        <v>0</v>
      </c>
      <c r="AE290" s="40">
        <f>IF(AQ290="7",BI290,0)</f>
        <v>0</v>
      </c>
      <c r="AF290" s="40">
        <f>IF(AQ290="2",BH290,0)</f>
        <v>0</v>
      </c>
      <c r="AG290" s="40">
        <f>IF(AQ290="2",BI290,0)</f>
        <v>0</v>
      </c>
      <c r="AH290" s="40">
        <f>IF(AQ290="0",BJ290,0)</f>
        <v>0</v>
      </c>
      <c r="AI290" s="39"/>
      <c r="AJ290" s="21">
        <f>IF(AN290=0,K290,0)</f>
        <v>0</v>
      </c>
      <c r="AK290" s="21">
        <f>IF(AN290=15,K290,0)</f>
        <v>0</v>
      </c>
      <c r="AL290" s="21">
        <f>IF(AN290=21,K290,0)</f>
        <v>0</v>
      </c>
      <c r="AN290" s="40">
        <v>15</v>
      </c>
      <c r="AO290" s="40">
        <f>H290*0</f>
        <v>0</v>
      </c>
      <c r="AP290" s="40">
        <f>H290*(1-0)</f>
        <v>0</v>
      </c>
      <c r="AQ290" s="41" t="s">
        <v>11</v>
      </c>
      <c r="AV290" s="40">
        <f>AW290+AX290</f>
        <v>0</v>
      </c>
      <c r="AW290" s="40">
        <f>G290*AO290</f>
        <v>0</v>
      </c>
      <c r="AX290" s="40">
        <f>G290*AP290</f>
        <v>0</v>
      </c>
      <c r="AY290" s="43" t="s">
        <v>547</v>
      </c>
      <c r="AZ290" s="43" t="s">
        <v>556</v>
      </c>
      <c r="BA290" s="39" t="s">
        <v>557</v>
      </c>
      <c r="BC290" s="40">
        <f>AW290+AX290</f>
        <v>0</v>
      </c>
      <c r="BD290" s="40">
        <f>H290/(100-BE290)*100</f>
        <v>0</v>
      </c>
      <c r="BE290" s="40">
        <v>0</v>
      </c>
      <c r="BF290" s="40">
        <f>290</f>
        <v>290</v>
      </c>
      <c r="BH290" s="21">
        <f>G290*AO290</f>
        <v>0</v>
      </c>
      <c r="BI290" s="21">
        <f>G290*AP290</f>
        <v>0</v>
      </c>
      <c r="BJ290" s="21">
        <f>G290*H290</f>
        <v>0</v>
      </c>
      <c r="BK290" s="21" t="s">
        <v>562</v>
      </c>
      <c r="BL290" s="40" t="s">
        <v>203</v>
      </c>
    </row>
    <row r="291" spans="1:64" x14ac:dyDescent="0.25">
      <c r="A291" s="5"/>
      <c r="C291" s="87" t="s">
        <v>480</v>
      </c>
      <c r="D291" s="88"/>
      <c r="E291" s="88"/>
      <c r="G291" s="22">
        <v>63.635210000000001</v>
      </c>
      <c r="L291" s="34"/>
      <c r="M291" s="5"/>
    </row>
    <row r="292" spans="1:64" x14ac:dyDescent="0.25">
      <c r="A292" s="4" t="s">
        <v>95</v>
      </c>
      <c r="B292" s="14" t="s">
        <v>205</v>
      </c>
      <c r="C292" s="85" t="s">
        <v>481</v>
      </c>
      <c r="D292" s="86"/>
      <c r="E292" s="86"/>
      <c r="F292" s="14" t="s">
        <v>499</v>
      </c>
      <c r="G292" s="21">
        <v>63.635210000000001</v>
      </c>
      <c r="H292" s="21">
        <v>0</v>
      </c>
      <c r="I292" s="21">
        <f>G292*AO292</f>
        <v>0</v>
      </c>
      <c r="J292" s="21">
        <f>G292*AP292</f>
        <v>0</v>
      </c>
      <c r="K292" s="21">
        <f>G292*H292</f>
        <v>0</v>
      </c>
      <c r="L292" s="33" t="s">
        <v>517</v>
      </c>
      <c r="M292" s="5"/>
      <c r="Z292" s="40">
        <f>IF(AQ292="5",BJ292,0)</f>
        <v>0</v>
      </c>
      <c r="AB292" s="40">
        <f>IF(AQ292="1",BH292,0)</f>
        <v>0</v>
      </c>
      <c r="AC292" s="40">
        <f>IF(AQ292="1",BI292,0)</f>
        <v>0</v>
      </c>
      <c r="AD292" s="40">
        <f>IF(AQ292="7",BH292,0)</f>
        <v>0</v>
      </c>
      <c r="AE292" s="40">
        <f>IF(AQ292="7",BI292,0)</f>
        <v>0</v>
      </c>
      <c r="AF292" s="40">
        <f>IF(AQ292="2",BH292,0)</f>
        <v>0</v>
      </c>
      <c r="AG292" s="40">
        <f>IF(AQ292="2",BI292,0)</f>
        <v>0</v>
      </c>
      <c r="AH292" s="40">
        <f>IF(AQ292="0",BJ292,0)</f>
        <v>0</v>
      </c>
      <c r="AI292" s="39"/>
      <c r="AJ292" s="21">
        <f>IF(AN292=0,K292,0)</f>
        <v>0</v>
      </c>
      <c r="AK292" s="21">
        <f>IF(AN292=15,K292,0)</f>
        <v>0</v>
      </c>
      <c r="AL292" s="21">
        <f>IF(AN292=21,K292,0)</f>
        <v>0</v>
      </c>
      <c r="AN292" s="40">
        <v>15</v>
      </c>
      <c r="AO292" s="40">
        <f>H292*0</f>
        <v>0</v>
      </c>
      <c r="AP292" s="40">
        <f>H292*(1-0)</f>
        <v>0</v>
      </c>
      <c r="AQ292" s="41" t="s">
        <v>11</v>
      </c>
      <c r="AV292" s="40">
        <f>AW292+AX292</f>
        <v>0</v>
      </c>
      <c r="AW292" s="40">
        <f>G292*AO292</f>
        <v>0</v>
      </c>
      <c r="AX292" s="40">
        <f>G292*AP292</f>
        <v>0</v>
      </c>
      <c r="AY292" s="43" t="s">
        <v>547</v>
      </c>
      <c r="AZ292" s="43" t="s">
        <v>556</v>
      </c>
      <c r="BA292" s="39" t="s">
        <v>557</v>
      </c>
      <c r="BC292" s="40">
        <f>AW292+AX292</f>
        <v>0</v>
      </c>
      <c r="BD292" s="40">
        <f>H292/(100-BE292)*100</f>
        <v>0</v>
      </c>
      <c r="BE292" s="40">
        <v>0</v>
      </c>
      <c r="BF292" s="40">
        <f>292</f>
        <v>292</v>
      </c>
      <c r="BH292" s="21">
        <f>G292*AO292</f>
        <v>0</v>
      </c>
      <c r="BI292" s="21">
        <f>G292*AP292</f>
        <v>0</v>
      </c>
      <c r="BJ292" s="21">
        <f>G292*H292</f>
        <v>0</v>
      </c>
      <c r="BK292" s="21" t="s">
        <v>562</v>
      </c>
      <c r="BL292" s="40" t="s">
        <v>203</v>
      </c>
    </row>
    <row r="293" spans="1:64" x14ac:dyDescent="0.25">
      <c r="A293" s="5"/>
      <c r="C293" s="87" t="s">
        <v>480</v>
      </c>
      <c r="D293" s="88"/>
      <c r="E293" s="88"/>
      <c r="G293" s="22">
        <v>63.635210000000001</v>
      </c>
      <c r="L293" s="34"/>
      <c r="M293" s="5"/>
    </row>
    <row r="294" spans="1:64" x14ac:dyDescent="0.25">
      <c r="A294" s="4" t="s">
        <v>96</v>
      </c>
      <c r="B294" s="14" t="s">
        <v>206</v>
      </c>
      <c r="C294" s="85" t="s">
        <v>482</v>
      </c>
      <c r="D294" s="86"/>
      <c r="E294" s="86"/>
      <c r="F294" s="14" t="s">
        <v>499</v>
      </c>
      <c r="G294" s="21">
        <v>63.635210000000001</v>
      </c>
      <c r="H294" s="21">
        <v>0</v>
      </c>
      <c r="I294" s="21">
        <f>G294*AO294</f>
        <v>0</v>
      </c>
      <c r="J294" s="21">
        <f>G294*AP294</f>
        <v>0</v>
      </c>
      <c r="K294" s="21">
        <f>G294*H294</f>
        <v>0</v>
      </c>
      <c r="L294" s="33" t="s">
        <v>517</v>
      </c>
      <c r="M294" s="5"/>
      <c r="Z294" s="40">
        <f>IF(AQ294="5",BJ294,0)</f>
        <v>0</v>
      </c>
      <c r="AB294" s="40">
        <f>IF(AQ294="1",BH294,0)</f>
        <v>0</v>
      </c>
      <c r="AC294" s="40">
        <f>IF(AQ294="1",BI294,0)</f>
        <v>0</v>
      </c>
      <c r="AD294" s="40">
        <f>IF(AQ294="7",BH294,0)</f>
        <v>0</v>
      </c>
      <c r="AE294" s="40">
        <f>IF(AQ294="7",BI294,0)</f>
        <v>0</v>
      </c>
      <c r="AF294" s="40">
        <f>IF(AQ294="2",BH294,0)</f>
        <v>0</v>
      </c>
      <c r="AG294" s="40">
        <f>IF(AQ294="2",BI294,0)</f>
        <v>0</v>
      </c>
      <c r="AH294" s="40">
        <f>IF(AQ294="0",BJ294,0)</f>
        <v>0</v>
      </c>
      <c r="AI294" s="39"/>
      <c r="AJ294" s="21">
        <f>IF(AN294=0,K294,0)</f>
        <v>0</v>
      </c>
      <c r="AK294" s="21">
        <f>IF(AN294=15,K294,0)</f>
        <v>0</v>
      </c>
      <c r="AL294" s="21">
        <f>IF(AN294=21,K294,0)</f>
        <v>0</v>
      </c>
      <c r="AN294" s="40">
        <v>15</v>
      </c>
      <c r="AO294" s="40">
        <f>H294*0</f>
        <v>0</v>
      </c>
      <c r="AP294" s="40">
        <f>H294*(1-0)</f>
        <v>0</v>
      </c>
      <c r="AQ294" s="41" t="s">
        <v>11</v>
      </c>
      <c r="AV294" s="40">
        <f>AW294+AX294</f>
        <v>0</v>
      </c>
      <c r="AW294" s="40">
        <f>G294*AO294</f>
        <v>0</v>
      </c>
      <c r="AX294" s="40">
        <f>G294*AP294</f>
        <v>0</v>
      </c>
      <c r="AY294" s="43" t="s">
        <v>547</v>
      </c>
      <c r="AZ294" s="43" t="s">
        <v>556</v>
      </c>
      <c r="BA294" s="39" t="s">
        <v>557</v>
      </c>
      <c r="BC294" s="40">
        <f>AW294+AX294</f>
        <v>0</v>
      </c>
      <c r="BD294" s="40">
        <f>H294/(100-BE294)*100</f>
        <v>0</v>
      </c>
      <c r="BE294" s="40">
        <v>0</v>
      </c>
      <c r="BF294" s="40">
        <f>294</f>
        <v>294</v>
      </c>
      <c r="BH294" s="21">
        <f>G294*AO294</f>
        <v>0</v>
      </c>
      <c r="BI294" s="21">
        <f>G294*AP294</f>
        <v>0</v>
      </c>
      <c r="BJ294" s="21">
        <f>G294*H294</f>
        <v>0</v>
      </c>
      <c r="BK294" s="21" t="s">
        <v>562</v>
      </c>
      <c r="BL294" s="40" t="s">
        <v>203</v>
      </c>
    </row>
    <row r="295" spans="1:64" x14ac:dyDescent="0.25">
      <c r="A295" s="5"/>
      <c r="C295" s="87" t="s">
        <v>480</v>
      </c>
      <c r="D295" s="88"/>
      <c r="E295" s="88"/>
      <c r="G295" s="22">
        <v>63.635210000000001</v>
      </c>
      <c r="L295" s="34"/>
      <c r="M295" s="5"/>
    </row>
    <row r="296" spans="1:64" x14ac:dyDescent="0.25">
      <c r="A296" s="4" t="s">
        <v>97</v>
      </c>
      <c r="B296" s="14" t="s">
        <v>207</v>
      </c>
      <c r="C296" s="85" t="s">
        <v>483</v>
      </c>
      <c r="D296" s="86"/>
      <c r="E296" s="86"/>
      <c r="F296" s="14" t="s">
        <v>499</v>
      </c>
      <c r="G296" s="21">
        <v>63.635210000000001</v>
      </c>
      <c r="H296" s="21">
        <v>0</v>
      </c>
      <c r="I296" s="21">
        <f>G296*AO296</f>
        <v>0</v>
      </c>
      <c r="J296" s="21">
        <f>G296*AP296</f>
        <v>0</v>
      </c>
      <c r="K296" s="21">
        <f>G296*H296</f>
        <v>0</v>
      </c>
      <c r="L296" s="33" t="s">
        <v>517</v>
      </c>
      <c r="M296" s="5"/>
      <c r="Z296" s="40">
        <f>IF(AQ296="5",BJ296,0)</f>
        <v>0</v>
      </c>
      <c r="AB296" s="40">
        <f>IF(AQ296="1",BH296,0)</f>
        <v>0</v>
      </c>
      <c r="AC296" s="40">
        <f>IF(AQ296="1",BI296,0)</f>
        <v>0</v>
      </c>
      <c r="AD296" s="40">
        <f>IF(AQ296="7",BH296,0)</f>
        <v>0</v>
      </c>
      <c r="AE296" s="40">
        <f>IF(AQ296="7",BI296,0)</f>
        <v>0</v>
      </c>
      <c r="AF296" s="40">
        <f>IF(AQ296="2",BH296,0)</f>
        <v>0</v>
      </c>
      <c r="AG296" s="40">
        <f>IF(AQ296="2",BI296,0)</f>
        <v>0</v>
      </c>
      <c r="AH296" s="40">
        <f>IF(AQ296="0",BJ296,0)</f>
        <v>0</v>
      </c>
      <c r="AI296" s="39"/>
      <c r="AJ296" s="21">
        <f>IF(AN296=0,K296,0)</f>
        <v>0</v>
      </c>
      <c r="AK296" s="21">
        <f>IF(AN296=15,K296,0)</f>
        <v>0</v>
      </c>
      <c r="AL296" s="21">
        <f>IF(AN296=21,K296,0)</f>
        <v>0</v>
      </c>
      <c r="AN296" s="40">
        <v>15</v>
      </c>
      <c r="AO296" s="40">
        <f>H296*0</f>
        <v>0</v>
      </c>
      <c r="AP296" s="40">
        <f>H296*(1-0)</f>
        <v>0</v>
      </c>
      <c r="AQ296" s="41" t="s">
        <v>11</v>
      </c>
      <c r="AV296" s="40">
        <f>AW296+AX296</f>
        <v>0</v>
      </c>
      <c r="AW296" s="40">
        <f>G296*AO296</f>
        <v>0</v>
      </c>
      <c r="AX296" s="40">
        <f>G296*AP296</f>
        <v>0</v>
      </c>
      <c r="AY296" s="43" t="s">
        <v>547</v>
      </c>
      <c r="AZ296" s="43" t="s">
        <v>556</v>
      </c>
      <c r="BA296" s="39" t="s">
        <v>557</v>
      </c>
      <c r="BC296" s="40">
        <f>AW296+AX296</f>
        <v>0</v>
      </c>
      <c r="BD296" s="40">
        <f>H296/(100-BE296)*100</f>
        <v>0</v>
      </c>
      <c r="BE296" s="40">
        <v>0</v>
      </c>
      <c r="BF296" s="40">
        <f>296</f>
        <v>296</v>
      </c>
      <c r="BH296" s="21">
        <f>G296*AO296</f>
        <v>0</v>
      </c>
      <c r="BI296" s="21">
        <f>G296*AP296</f>
        <v>0</v>
      </c>
      <c r="BJ296" s="21">
        <f>G296*H296</f>
        <v>0</v>
      </c>
      <c r="BK296" s="21" t="s">
        <v>562</v>
      </c>
      <c r="BL296" s="40" t="s">
        <v>203</v>
      </c>
    </row>
    <row r="297" spans="1:64" x14ac:dyDescent="0.25">
      <c r="A297" s="5"/>
      <c r="C297" s="87" t="s">
        <v>480</v>
      </c>
      <c r="D297" s="88"/>
      <c r="E297" s="88"/>
      <c r="G297" s="22">
        <v>63.635210000000001</v>
      </c>
      <c r="L297" s="34"/>
      <c r="M297" s="5"/>
    </row>
    <row r="298" spans="1:64" x14ac:dyDescent="0.25">
      <c r="A298" s="4" t="s">
        <v>98</v>
      </c>
      <c r="B298" s="14" t="s">
        <v>208</v>
      </c>
      <c r="C298" s="85" t="s">
        <v>484</v>
      </c>
      <c r="D298" s="86"/>
      <c r="E298" s="86"/>
      <c r="F298" s="14" t="s">
        <v>499</v>
      </c>
      <c r="G298" s="21">
        <v>63.635210000000001</v>
      </c>
      <c r="H298" s="21">
        <v>0</v>
      </c>
      <c r="I298" s="21">
        <f>G298*AO298</f>
        <v>0</v>
      </c>
      <c r="J298" s="21">
        <f>G298*AP298</f>
        <v>0</v>
      </c>
      <c r="K298" s="21">
        <f>G298*H298</f>
        <v>0</v>
      </c>
      <c r="L298" s="33" t="s">
        <v>517</v>
      </c>
      <c r="M298" s="5"/>
      <c r="Z298" s="40">
        <f>IF(AQ298="5",BJ298,0)</f>
        <v>0</v>
      </c>
      <c r="AB298" s="40">
        <f>IF(AQ298="1",BH298,0)</f>
        <v>0</v>
      </c>
      <c r="AC298" s="40">
        <f>IF(AQ298="1",BI298,0)</f>
        <v>0</v>
      </c>
      <c r="AD298" s="40">
        <f>IF(AQ298="7",BH298,0)</f>
        <v>0</v>
      </c>
      <c r="AE298" s="40">
        <f>IF(AQ298="7",BI298,0)</f>
        <v>0</v>
      </c>
      <c r="AF298" s="40">
        <f>IF(AQ298="2",BH298,0)</f>
        <v>0</v>
      </c>
      <c r="AG298" s="40">
        <f>IF(AQ298="2",BI298,0)</f>
        <v>0</v>
      </c>
      <c r="AH298" s="40">
        <f>IF(AQ298="0",BJ298,0)</f>
        <v>0</v>
      </c>
      <c r="AI298" s="39"/>
      <c r="AJ298" s="21">
        <f>IF(AN298=0,K298,0)</f>
        <v>0</v>
      </c>
      <c r="AK298" s="21">
        <f>IF(AN298=15,K298,0)</f>
        <v>0</v>
      </c>
      <c r="AL298" s="21">
        <f>IF(AN298=21,K298,0)</f>
        <v>0</v>
      </c>
      <c r="AN298" s="40">
        <v>15</v>
      </c>
      <c r="AO298" s="40">
        <f>H298*0</f>
        <v>0</v>
      </c>
      <c r="AP298" s="40">
        <f>H298*(1-0)</f>
        <v>0</v>
      </c>
      <c r="AQ298" s="41" t="s">
        <v>11</v>
      </c>
      <c r="AV298" s="40">
        <f>AW298+AX298</f>
        <v>0</v>
      </c>
      <c r="AW298" s="40">
        <f>G298*AO298</f>
        <v>0</v>
      </c>
      <c r="AX298" s="40">
        <f>G298*AP298</f>
        <v>0</v>
      </c>
      <c r="AY298" s="43" t="s">
        <v>547</v>
      </c>
      <c r="AZ298" s="43" t="s">
        <v>556</v>
      </c>
      <c r="BA298" s="39" t="s">
        <v>557</v>
      </c>
      <c r="BC298" s="40">
        <f>AW298+AX298</f>
        <v>0</v>
      </c>
      <c r="BD298" s="40">
        <f>H298/(100-BE298)*100</f>
        <v>0</v>
      </c>
      <c r="BE298" s="40">
        <v>0</v>
      </c>
      <c r="BF298" s="40">
        <f>298</f>
        <v>298</v>
      </c>
      <c r="BH298" s="21">
        <f>G298*AO298</f>
        <v>0</v>
      </c>
      <c r="BI298" s="21">
        <f>G298*AP298</f>
        <v>0</v>
      </c>
      <c r="BJ298" s="21">
        <f>G298*H298</f>
        <v>0</v>
      </c>
      <c r="BK298" s="21" t="s">
        <v>562</v>
      </c>
      <c r="BL298" s="40" t="s">
        <v>203</v>
      </c>
    </row>
    <row r="299" spans="1:64" x14ac:dyDescent="0.25">
      <c r="A299" s="5"/>
      <c r="C299" s="87" t="s">
        <v>480</v>
      </c>
      <c r="D299" s="88"/>
      <c r="E299" s="88"/>
      <c r="G299" s="22">
        <v>63.635210000000001</v>
      </c>
      <c r="L299" s="34"/>
      <c r="M299" s="5"/>
    </row>
    <row r="300" spans="1:64" x14ac:dyDescent="0.25">
      <c r="A300" s="4" t="s">
        <v>99</v>
      </c>
      <c r="B300" s="14" t="s">
        <v>209</v>
      </c>
      <c r="C300" s="85" t="s">
        <v>485</v>
      </c>
      <c r="D300" s="86"/>
      <c r="E300" s="86"/>
      <c r="F300" s="14" t="s">
        <v>499</v>
      </c>
      <c r="G300" s="21">
        <v>1209.06899</v>
      </c>
      <c r="H300" s="21">
        <v>0</v>
      </c>
      <c r="I300" s="21">
        <f>G300*AO300</f>
        <v>0</v>
      </c>
      <c r="J300" s="21">
        <f>G300*AP300</f>
        <v>0</v>
      </c>
      <c r="K300" s="21">
        <f>G300*H300</f>
        <v>0</v>
      </c>
      <c r="L300" s="33" t="s">
        <v>517</v>
      </c>
      <c r="M300" s="5"/>
      <c r="Z300" s="40">
        <f>IF(AQ300="5",BJ300,0)</f>
        <v>0</v>
      </c>
      <c r="AB300" s="40">
        <f>IF(AQ300="1",BH300,0)</f>
        <v>0</v>
      </c>
      <c r="AC300" s="40">
        <f>IF(AQ300="1",BI300,0)</f>
        <v>0</v>
      </c>
      <c r="AD300" s="40">
        <f>IF(AQ300="7",BH300,0)</f>
        <v>0</v>
      </c>
      <c r="AE300" s="40">
        <f>IF(AQ300="7",BI300,0)</f>
        <v>0</v>
      </c>
      <c r="AF300" s="40">
        <f>IF(AQ300="2",BH300,0)</f>
        <v>0</v>
      </c>
      <c r="AG300" s="40">
        <f>IF(AQ300="2",BI300,0)</f>
        <v>0</v>
      </c>
      <c r="AH300" s="40">
        <f>IF(AQ300="0",BJ300,0)</f>
        <v>0</v>
      </c>
      <c r="AI300" s="39"/>
      <c r="AJ300" s="21">
        <f>IF(AN300=0,K300,0)</f>
        <v>0</v>
      </c>
      <c r="AK300" s="21">
        <f>IF(AN300=15,K300,0)</f>
        <v>0</v>
      </c>
      <c r="AL300" s="21">
        <f>IF(AN300=21,K300,0)</f>
        <v>0</v>
      </c>
      <c r="AN300" s="40">
        <v>15</v>
      </c>
      <c r="AO300" s="40">
        <f>H300*0</f>
        <v>0</v>
      </c>
      <c r="AP300" s="40">
        <f>H300*(1-0)</f>
        <v>0</v>
      </c>
      <c r="AQ300" s="41" t="s">
        <v>11</v>
      </c>
      <c r="AV300" s="40">
        <f>AW300+AX300</f>
        <v>0</v>
      </c>
      <c r="AW300" s="40">
        <f>G300*AO300</f>
        <v>0</v>
      </c>
      <c r="AX300" s="40">
        <f>G300*AP300</f>
        <v>0</v>
      </c>
      <c r="AY300" s="43" t="s">
        <v>547</v>
      </c>
      <c r="AZ300" s="43" t="s">
        <v>556</v>
      </c>
      <c r="BA300" s="39" t="s">
        <v>557</v>
      </c>
      <c r="BC300" s="40">
        <f>AW300+AX300</f>
        <v>0</v>
      </c>
      <c r="BD300" s="40">
        <f>H300/(100-BE300)*100</f>
        <v>0</v>
      </c>
      <c r="BE300" s="40">
        <v>0</v>
      </c>
      <c r="BF300" s="40">
        <f>300</f>
        <v>300</v>
      </c>
      <c r="BH300" s="21">
        <f>G300*AO300</f>
        <v>0</v>
      </c>
      <c r="BI300" s="21">
        <f>G300*AP300</f>
        <v>0</v>
      </c>
      <c r="BJ300" s="21">
        <f>G300*H300</f>
        <v>0</v>
      </c>
      <c r="BK300" s="21" t="s">
        <v>562</v>
      </c>
      <c r="BL300" s="40" t="s">
        <v>203</v>
      </c>
    </row>
    <row r="301" spans="1:64" x14ac:dyDescent="0.25">
      <c r="A301" s="5"/>
      <c r="C301" s="87" t="s">
        <v>486</v>
      </c>
      <c r="D301" s="88"/>
      <c r="E301" s="88"/>
      <c r="G301" s="22">
        <v>1209.06899</v>
      </c>
      <c r="L301" s="34"/>
      <c r="M301" s="5"/>
    </row>
    <row r="302" spans="1:64" x14ac:dyDescent="0.25">
      <c r="A302" s="4" t="s">
        <v>100</v>
      </c>
      <c r="B302" s="14" t="s">
        <v>210</v>
      </c>
      <c r="C302" s="85" t="s">
        <v>487</v>
      </c>
      <c r="D302" s="86"/>
      <c r="E302" s="86"/>
      <c r="F302" s="14" t="s">
        <v>499</v>
      </c>
      <c r="G302" s="21">
        <v>63.635210000000001</v>
      </c>
      <c r="H302" s="21">
        <v>0</v>
      </c>
      <c r="I302" s="21">
        <f>G302*AO302</f>
        <v>0</v>
      </c>
      <c r="J302" s="21">
        <f>G302*AP302</f>
        <v>0</v>
      </c>
      <c r="K302" s="21">
        <f>G302*H302</f>
        <v>0</v>
      </c>
      <c r="L302" s="33" t="s">
        <v>517</v>
      </c>
      <c r="M302" s="5"/>
      <c r="Z302" s="40">
        <f>IF(AQ302="5",BJ302,0)</f>
        <v>0</v>
      </c>
      <c r="AB302" s="40">
        <f>IF(AQ302="1",BH302,0)</f>
        <v>0</v>
      </c>
      <c r="AC302" s="40">
        <f>IF(AQ302="1",BI302,0)</f>
        <v>0</v>
      </c>
      <c r="AD302" s="40">
        <f>IF(AQ302="7",BH302,0)</f>
        <v>0</v>
      </c>
      <c r="AE302" s="40">
        <f>IF(AQ302="7",BI302,0)</f>
        <v>0</v>
      </c>
      <c r="AF302" s="40">
        <f>IF(AQ302="2",BH302,0)</f>
        <v>0</v>
      </c>
      <c r="AG302" s="40">
        <f>IF(AQ302="2",BI302,0)</f>
        <v>0</v>
      </c>
      <c r="AH302" s="40">
        <f>IF(AQ302="0",BJ302,0)</f>
        <v>0</v>
      </c>
      <c r="AI302" s="39"/>
      <c r="AJ302" s="21">
        <f>IF(AN302=0,K302,0)</f>
        <v>0</v>
      </c>
      <c r="AK302" s="21">
        <f>IF(AN302=15,K302,0)</f>
        <v>0</v>
      </c>
      <c r="AL302" s="21">
        <f>IF(AN302=21,K302,0)</f>
        <v>0</v>
      </c>
      <c r="AN302" s="40">
        <v>15</v>
      </c>
      <c r="AO302" s="40">
        <f>H302*0</f>
        <v>0</v>
      </c>
      <c r="AP302" s="40">
        <f>H302*(1-0)</f>
        <v>0</v>
      </c>
      <c r="AQ302" s="41" t="s">
        <v>11</v>
      </c>
      <c r="AV302" s="40">
        <f>AW302+AX302</f>
        <v>0</v>
      </c>
      <c r="AW302" s="40">
        <f>G302*AO302</f>
        <v>0</v>
      </c>
      <c r="AX302" s="40">
        <f>G302*AP302</f>
        <v>0</v>
      </c>
      <c r="AY302" s="43" t="s">
        <v>547</v>
      </c>
      <c r="AZ302" s="43" t="s">
        <v>556</v>
      </c>
      <c r="BA302" s="39" t="s">
        <v>557</v>
      </c>
      <c r="BC302" s="40">
        <f>AW302+AX302</f>
        <v>0</v>
      </c>
      <c r="BD302" s="40">
        <f>H302/(100-BE302)*100</f>
        <v>0</v>
      </c>
      <c r="BE302" s="40">
        <v>0</v>
      </c>
      <c r="BF302" s="40">
        <f>302</f>
        <v>302</v>
      </c>
      <c r="BH302" s="21">
        <f>G302*AO302</f>
        <v>0</v>
      </c>
      <c r="BI302" s="21">
        <f>G302*AP302</f>
        <v>0</v>
      </c>
      <c r="BJ302" s="21">
        <f>G302*H302</f>
        <v>0</v>
      </c>
      <c r="BK302" s="21" t="s">
        <v>562</v>
      </c>
      <c r="BL302" s="40" t="s">
        <v>203</v>
      </c>
    </row>
    <row r="303" spans="1:64" x14ac:dyDescent="0.25">
      <c r="A303" s="8"/>
      <c r="B303" s="17"/>
      <c r="C303" s="102" t="s">
        <v>480</v>
      </c>
      <c r="D303" s="103"/>
      <c r="E303" s="103"/>
      <c r="F303" s="17"/>
      <c r="G303" s="24">
        <v>63.635210000000001</v>
      </c>
      <c r="H303" s="17"/>
      <c r="I303" s="17"/>
      <c r="J303" s="17"/>
      <c r="K303" s="17"/>
      <c r="L303" s="37"/>
      <c r="M303" s="5"/>
    </row>
    <row r="304" spans="1:64" x14ac:dyDescent="0.25">
      <c r="A304" s="9"/>
      <c r="B304" s="9"/>
      <c r="C304" s="9"/>
      <c r="D304" s="9"/>
      <c r="E304" s="9"/>
      <c r="F304" s="9"/>
      <c r="G304" s="9"/>
      <c r="H304" s="9"/>
      <c r="I304" s="104" t="s">
        <v>512</v>
      </c>
      <c r="J304" s="105"/>
      <c r="K304" s="47">
        <f>K12+K15+K22+K27+K33+K43+K132+K146+K151+K154+K196+K220+K229+K233+K240+K253+K258+K280+K283+K286+K289</f>
        <v>0</v>
      </c>
      <c r="L304" s="9"/>
    </row>
    <row r="305" spans="1:12" ht="11.25" customHeight="1" x14ac:dyDescent="0.25">
      <c r="A305" s="10" t="s">
        <v>101</v>
      </c>
    </row>
    <row r="306" spans="1:12" x14ac:dyDescent="0.25">
      <c r="A306" s="68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6"/>
    </row>
  </sheetData>
  <mergeCells count="322">
    <mergeCell ref="C303:E303"/>
    <mergeCell ref="I304:J304"/>
    <mergeCell ref="A306:L306"/>
    <mergeCell ref="C297:E297"/>
    <mergeCell ref="C298:E298"/>
    <mergeCell ref="C299:E299"/>
    <mergeCell ref="C300:E300"/>
    <mergeCell ref="C301:E301"/>
    <mergeCell ref="C302:E302"/>
    <mergeCell ref="C291:E291"/>
    <mergeCell ref="C292:E292"/>
    <mergeCell ref="C293:E293"/>
    <mergeCell ref="C294:E294"/>
    <mergeCell ref="C295:E295"/>
    <mergeCell ref="C296:E296"/>
    <mergeCell ref="C285:E285"/>
    <mergeCell ref="C286:E286"/>
    <mergeCell ref="C287:E287"/>
    <mergeCell ref="C288:E288"/>
    <mergeCell ref="C289:E289"/>
    <mergeCell ref="C290:E290"/>
    <mergeCell ref="C279:E279"/>
    <mergeCell ref="C280:E280"/>
    <mergeCell ref="C281:E281"/>
    <mergeCell ref="C282:E282"/>
    <mergeCell ref="C283:E283"/>
    <mergeCell ref="C284:E284"/>
    <mergeCell ref="C273:E273"/>
    <mergeCell ref="C274:E274"/>
    <mergeCell ref="C275:E275"/>
    <mergeCell ref="C276:E276"/>
    <mergeCell ref="C277:E277"/>
    <mergeCell ref="C278:E278"/>
    <mergeCell ref="C267:E267"/>
    <mergeCell ref="C268:E268"/>
    <mergeCell ref="C269:E269"/>
    <mergeCell ref="C270:E270"/>
    <mergeCell ref="C271:E271"/>
    <mergeCell ref="C272:E272"/>
    <mergeCell ref="C261:E261"/>
    <mergeCell ref="C262:E262"/>
    <mergeCell ref="C263:E263"/>
    <mergeCell ref="C264:E264"/>
    <mergeCell ref="C265:E265"/>
    <mergeCell ref="C266:E266"/>
    <mergeCell ref="C255:E255"/>
    <mergeCell ref="C256:E256"/>
    <mergeCell ref="C257:E257"/>
    <mergeCell ref="C258:E258"/>
    <mergeCell ref="C259:E259"/>
    <mergeCell ref="C260:E260"/>
    <mergeCell ref="C249:E249"/>
    <mergeCell ref="C250:E250"/>
    <mergeCell ref="C251:E251"/>
    <mergeCell ref="C252:E252"/>
    <mergeCell ref="C253:E253"/>
    <mergeCell ref="C254:E254"/>
    <mergeCell ref="C243:E243"/>
    <mergeCell ref="C244:E244"/>
    <mergeCell ref="C245:E245"/>
    <mergeCell ref="C246:E246"/>
    <mergeCell ref="C247:E247"/>
    <mergeCell ref="C248:E248"/>
    <mergeCell ref="C237:E237"/>
    <mergeCell ref="C238:E238"/>
    <mergeCell ref="C239:E239"/>
    <mergeCell ref="C240:E240"/>
    <mergeCell ref="C241:E241"/>
    <mergeCell ref="C242:E242"/>
    <mergeCell ref="C231:E231"/>
    <mergeCell ref="C232:E232"/>
    <mergeCell ref="C233:E233"/>
    <mergeCell ref="C234:E234"/>
    <mergeCell ref="C235:E235"/>
    <mergeCell ref="C236:E236"/>
    <mergeCell ref="C225:E225"/>
    <mergeCell ref="C226:E226"/>
    <mergeCell ref="C227:E227"/>
    <mergeCell ref="C228:E228"/>
    <mergeCell ref="C229:E229"/>
    <mergeCell ref="C230:E230"/>
    <mergeCell ref="C219:E219"/>
    <mergeCell ref="C220:E220"/>
    <mergeCell ref="C221:E221"/>
    <mergeCell ref="C222:E222"/>
    <mergeCell ref="C223:E223"/>
    <mergeCell ref="C224:E224"/>
    <mergeCell ref="C213:E213"/>
    <mergeCell ref="C214:E214"/>
    <mergeCell ref="C215:E215"/>
    <mergeCell ref="C216:E216"/>
    <mergeCell ref="C217:E217"/>
    <mergeCell ref="C218:E218"/>
    <mergeCell ref="C207:E207"/>
    <mergeCell ref="C208:E208"/>
    <mergeCell ref="C209:E209"/>
    <mergeCell ref="C210:E210"/>
    <mergeCell ref="C211:E211"/>
    <mergeCell ref="C212:E212"/>
    <mergeCell ref="C201:E201"/>
    <mergeCell ref="C202:E202"/>
    <mergeCell ref="C203:E203"/>
    <mergeCell ref="C204:E204"/>
    <mergeCell ref="C205:E205"/>
    <mergeCell ref="C206:E206"/>
    <mergeCell ref="C195:E195"/>
    <mergeCell ref="C196:E196"/>
    <mergeCell ref="C197:E197"/>
    <mergeCell ref="C198:E198"/>
    <mergeCell ref="C199:E199"/>
    <mergeCell ref="C200:E200"/>
    <mergeCell ref="C189:E189"/>
    <mergeCell ref="C190:E190"/>
    <mergeCell ref="C191:E191"/>
    <mergeCell ref="C192:E192"/>
    <mergeCell ref="C193:E193"/>
    <mergeCell ref="C194:E194"/>
    <mergeCell ref="C183:E183"/>
    <mergeCell ref="C184:E184"/>
    <mergeCell ref="C185:E185"/>
    <mergeCell ref="C186:E186"/>
    <mergeCell ref="C187:E187"/>
    <mergeCell ref="C188:E188"/>
    <mergeCell ref="C177:E177"/>
    <mergeCell ref="C178:E178"/>
    <mergeCell ref="C179:E179"/>
    <mergeCell ref="C180:E180"/>
    <mergeCell ref="C181:E181"/>
    <mergeCell ref="C182:E182"/>
    <mergeCell ref="C171:E171"/>
    <mergeCell ref="C172:E172"/>
    <mergeCell ref="C173:E173"/>
    <mergeCell ref="C174:E174"/>
    <mergeCell ref="C175:E175"/>
    <mergeCell ref="C176:E176"/>
    <mergeCell ref="C165:E165"/>
    <mergeCell ref="C166:E166"/>
    <mergeCell ref="C167:E167"/>
    <mergeCell ref="C168:E168"/>
    <mergeCell ref="C169:E169"/>
    <mergeCell ref="C170:E170"/>
    <mergeCell ref="C159:E159"/>
    <mergeCell ref="C160:E160"/>
    <mergeCell ref="C161:E161"/>
    <mergeCell ref="C162:E162"/>
    <mergeCell ref="C163:E163"/>
    <mergeCell ref="C164:E164"/>
    <mergeCell ref="C153:E153"/>
    <mergeCell ref="C154:E154"/>
    <mergeCell ref="C155:E155"/>
    <mergeCell ref="C156:E156"/>
    <mergeCell ref="C157:E157"/>
    <mergeCell ref="C158:E158"/>
    <mergeCell ref="C147:E147"/>
    <mergeCell ref="C148:E148"/>
    <mergeCell ref="C149:E149"/>
    <mergeCell ref="C150:E150"/>
    <mergeCell ref="C151:E151"/>
    <mergeCell ref="C152:E152"/>
    <mergeCell ref="C141:E141"/>
    <mergeCell ref="C142:E142"/>
    <mergeCell ref="C143:E143"/>
    <mergeCell ref="C144:E144"/>
    <mergeCell ref="C145:E145"/>
    <mergeCell ref="C146:E146"/>
    <mergeCell ref="C135:E135"/>
    <mergeCell ref="C136:E136"/>
    <mergeCell ref="C137:E137"/>
    <mergeCell ref="C138:E138"/>
    <mergeCell ref="C139:E139"/>
    <mergeCell ref="C140:E140"/>
    <mergeCell ref="C129:E129"/>
    <mergeCell ref="C130:E130"/>
    <mergeCell ref="C131:E131"/>
    <mergeCell ref="C132:E132"/>
    <mergeCell ref="C133:E133"/>
    <mergeCell ref="C134:E134"/>
    <mergeCell ref="C123:E123"/>
    <mergeCell ref="C124:E124"/>
    <mergeCell ref="C125:E125"/>
    <mergeCell ref="C126:E126"/>
    <mergeCell ref="C127:E127"/>
    <mergeCell ref="C128:E128"/>
    <mergeCell ref="C117:E117"/>
    <mergeCell ref="C118:E118"/>
    <mergeCell ref="C119:E119"/>
    <mergeCell ref="C120:E120"/>
    <mergeCell ref="C121:E121"/>
    <mergeCell ref="C122:E122"/>
    <mergeCell ref="C111:E111"/>
    <mergeCell ref="C112:E112"/>
    <mergeCell ref="C113:E113"/>
    <mergeCell ref="C114:E114"/>
    <mergeCell ref="C115:E115"/>
    <mergeCell ref="C116:E116"/>
    <mergeCell ref="C105:E105"/>
    <mergeCell ref="C106:E106"/>
    <mergeCell ref="C107:E107"/>
    <mergeCell ref="C108:E108"/>
    <mergeCell ref="C109:E109"/>
    <mergeCell ref="C110:E110"/>
    <mergeCell ref="C99:E99"/>
    <mergeCell ref="C100:E100"/>
    <mergeCell ref="C101:E101"/>
    <mergeCell ref="C102:E102"/>
    <mergeCell ref="C103:E103"/>
    <mergeCell ref="C104:E104"/>
    <mergeCell ref="C93:E93"/>
    <mergeCell ref="C94:E94"/>
    <mergeCell ref="C95:E95"/>
    <mergeCell ref="C96:E96"/>
    <mergeCell ref="C97:E97"/>
    <mergeCell ref="C98:E98"/>
    <mergeCell ref="C87:E87"/>
    <mergeCell ref="C88:E88"/>
    <mergeCell ref="C89:E89"/>
    <mergeCell ref="C90:E90"/>
    <mergeCell ref="C91:E91"/>
    <mergeCell ref="C92:E92"/>
    <mergeCell ref="C81:E81"/>
    <mergeCell ref="C82:E82"/>
    <mergeCell ref="C83:E83"/>
    <mergeCell ref="C84:E84"/>
    <mergeCell ref="C85:E85"/>
    <mergeCell ref="C86:E86"/>
    <mergeCell ref="C75:E75"/>
    <mergeCell ref="C76:E76"/>
    <mergeCell ref="C77:E77"/>
    <mergeCell ref="C78:E78"/>
    <mergeCell ref="C79:E79"/>
    <mergeCell ref="C80:E80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45:E45"/>
    <mergeCell ref="C46:E46"/>
    <mergeCell ref="C47:E47"/>
    <mergeCell ref="C48:E48"/>
    <mergeCell ref="C49:E49"/>
    <mergeCell ref="C50:E50"/>
    <mergeCell ref="C39:E39"/>
    <mergeCell ref="C40:E40"/>
    <mergeCell ref="C41:E41"/>
    <mergeCell ref="C42:E42"/>
    <mergeCell ref="C43:E43"/>
    <mergeCell ref="C44:E44"/>
    <mergeCell ref="C33:E33"/>
    <mergeCell ref="C34:E34"/>
    <mergeCell ref="C35:E35"/>
    <mergeCell ref="C36:E36"/>
    <mergeCell ref="C37:E37"/>
    <mergeCell ref="C38:E38"/>
    <mergeCell ref="C27:E27"/>
    <mergeCell ref="C28:E28"/>
    <mergeCell ref="C29:E29"/>
    <mergeCell ref="C30:E30"/>
    <mergeCell ref="C31:E31"/>
    <mergeCell ref="C32:E32"/>
    <mergeCell ref="C21:E21"/>
    <mergeCell ref="C22:E22"/>
    <mergeCell ref="C23:E23"/>
    <mergeCell ref="C24:E24"/>
    <mergeCell ref="C25:E25"/>
    <mergeCell ref="C26:E26"/>
    <mergeCell ref="C15:E15"/>
    <mergeCell ref="C16:E16"/>
    <mergeCell ref="C17:E17"/>
    <mergeCell ref="C18:E18"/>
    <mergeCell ref="C19:E19"/>
    <mergeCell ref="C20:E20"/>
    <mergeCell ref="C10:E10"/>
    <mergeCell ref="I10:K10"/>
    <mergeCell ref="C11:E11"/>
    <mergeCell ref="C12:E12"/>
    <mergeCell ref="C13:E13"/>
    <mergeCell ref="C14:E14"/>
    <mergeCell ref="A8:B9"/>
    <mergeCell ref="C8:C9"/>
    <mergeCell ref="D8:E9"/>
    <mergeCell ref="F8:G9"/>
    <mergeCell ref="H8:H9"/>
    <mergeCell ref="I8:L9"/>
    <mergeCell ref="A6:B7"/>
    <mergeCell ref="C6:C7"/>
    <mergeCell ref="D6:E7"/>
    <mergeCell ref="F6:G7"/>
    <mergeCell ref="H6:H7"/>
    <mergeCell ref="I6:L7"/>
    <mergeCell ref="A4:B5"/>
    <mergeCell ref="C4:C5"/>
    <mergeCell ref="D4:E5"/>
    <mergeCell ref="F4:G5"/>
    <mergeCell ref="H4:H5"/>
    <mergeCell ref="I4:L5"/>
    <mergeCell ref="A1:L1"/>
    <mergeCell ref="A2:B3"/>
    <mergeCell ref="C2:C3"/>
    <mergeCell ref="D2:E3"/>
    <mergeCell ref="F2:G3"/>
    <mergeCell ref="H2:H3"/>
    <mergeCell ref="I2:L3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topLeftCell="A15" workbookViewId="0"/>
  </sheetViews>
  <sheetFormatPr defaultColWidth="11.5546875" defaultRowHeight="13.2" x14ac:dyDescent="0.25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10" ht="72.900000000000006" customHeight="1" x14ac:dyDescent="0.25">
      <c r="A1" s="62"/>
      <c r="B1" s="17"/>
      <c r="C1" s="106" t="s">
        <v>580</v>
      </c>
      <c r="D1" s="72"/>
      <c r="E1" s="72"/>
      <c r="F1" s="72"/>
      <c r="G1" s="72"/>
      <c r="H1" s="72"/>
      <c r="I1" s="72"/>
    </row>
    <row r="2" spans="1:10" x14ac:dyDescent="0.25">
      <c r="A2" s="73" t="s">
        <v>1</v>
      </c>
      <c r="B2" s="74"/>
      <c r="C2" s="75" t="str">
        <f>'Stavební rozpočet'!C2</f>
        <v>SNÍŽENÍ ENERGETICKÉ NÁROČNOSTI BUDOVY</v>
      </c>
      <c r="D2" s="105"/>
      <c r="E2" s="78" t="s">
        <v>501</v>
      </c>
      <c r="F2" s="78" t="str">
        <f>'Stavební rozpočet'!I2</f>
        <v>Město Budyně nad Ohří, Mírové náměstí 65, 41118 Bu</v>
      </c>
      <c r="G2" s="74"/>
      <c r="H2" s="78" t="s">
        <v>605</v>
      </c>
      <c r="I2" s="107"/>
      <c r="J2" s="5"/>
    </row>
    <row r="3" spans="1:10" x14ac:dyDescent="0.25">
      <c r="A3" s="67"/>
      <c r="B3" s="66"/>
      <c r="C3" s="76"/>
      <c r="D3" s="76"/>
      <c r="E3" s="66"/>
      <c r="F3" s="66"/>
      <c r="G3" s="66"/>
      <c r="H3" s="66"/>
      <c r="I3" s="70"/>
      <c r="J3" s="5"/>
    </row>
    <row r="4" spans="1:10" x14ac:dyDescent="0.25">
      <c r="A4" s="65" t="s">
        <v>2</v>
      </c>
      <c r="B4" s="66"/>
      <c r="C4" s="68" t="str">
        <f>'Stavební rozpočet'!C4</f>
        <v>D.1.1. ARCHITEKTONICKO-STAVEBNÍ ŘEŠENÍ</v>
      </c>
      <c r="D4" s="66"/>
      <c r="E4" s="68" t="s">
        <v>502</v>
      </c>
      <c r="F4" s="68" t="str">
        <f>'Stavební rozpočet'!I4</f>
        <v>Kamila Možná</v>
      </c>
      <c r="G4" s="66"/>
      <c r="H4" s="68" t="s">
        <v>605</v>
      </c>
      <c r="I4" s="108"/>
      <c r="J4" s="5"/>
    </row>
    <row r="5" spans="1:10" x14ac:dyDescent="0.25">
      <c r="A5" s="67"/>
      <c r="B5" s="66"/>
      <c r="C5" s="66"/>
      <c r="D5" s="66"/>
      <c r="E5" s="66"/>
      <c r="F5" s="66"/>
      <c r="G5" s="66"/>
      <c r="H5" s="66"/>
      <c r="I5" s="70"/>
      <c r="J5" s="5"/>
    </row>
    <row r="6" spans="1:10" x14ac:dyDescent="0.25">
      <c r="A6" s="65" t="s">
        <v>3</v>
      </c>
      <c r="B6" s="66"/>
      <c r="C6" s="68" t="str">
        <f>'Stavební rozpočet'!C6</f>
        <v>ulice Pražská čp. 340, 41118 Budyně nad Ohří</v>
      </c>
      <c r="D6" s="66"/>
      <c r="E6" s="68" t="s">
        <v>503</v>
      </c>
      <c r="F6" s="68" t="str">
        <f>'Stavební rozpočet'!I6</f>
        <v> </v>
      </c>
      <c r="G6" s="66"/>
      <c r="H6" s="68" t="s">
        <v>605</v>
      </c>
      <c r="I6" s="108"/>
      <c r="J6" s="5"/>
    </row>
    <row r="7" spans="1:10" x14ac:dyDescent="0.25">
      <c r="A7" s="67"/>
      <c r="B7" s="66"/>
      <c r="C7" s="66"/>
      <c r="D7" s="66"/>
      <c r="E7" s="66"/>
      <c r="F7" s="66"/>
      <c r="G7" s="66"/>
      <c r="H7" s="66"/>
      <c r="I7" s="70"/>
      <c r="J7" s="5"/>
    </row>
    <row r="8" spans="1:10" x14ac:dyDescent="0.25">
      <c r="A8" s="65" t="s">
        <v>489</v>
      </c>
      <c r="B8" s="66"/>
      <c r="C8" s="68" t="str">
        <f>'Stavební rozpočet'!F4</f>
        <v xml:space="preserve"> </v>
      </c>
      <c r="D8" s="66"/>
      <c r="E8" s="68" t="s">
        <v>490</v>
      </c>
      <c r="F8" s="68" t="str">
        <f>'Stavební rozpočet'!F6</f>
        <v xml:space="preserve"> </v>
      </c>
      <c r="G8" s="66"/>
      <c r="H8" s="69" t="s">
        <v>606</v>
      </c>
      <c r="I8" s="108" t="s">
        <v>100</v>
      </c>
      <c r="J8" s="5"/>
    </row>
    <row r="9" spans="1:10" x14ac:dyDescent="0.25">
      <c r="A9" s="67"/>
      <c r="B9" s="66"/>
      <c r="C9" s="66"/>
      <c r="D9" s="66"/>
      <c r="E9" s="66"/>
      <c r="F9" s="66"/>
      <c r="G9" s="66"/>
      <c r="H9" s="66"/>
      <c r="I9" s="70"/>
      <c r="J9" s="5"/>
    </row>
    <row r="10" spans="1:10" x14ac:dyDescent="0.25">
      <c r="A10" s="65" t="s">
        <v>4</v>
      </c>
      <c r="B10" s="66"/>
      <c r="C10" s="68" t="str">
        <f>'Stavební rozpočet'!C8</f>
        <v xml:space="preserve"> </v>
      </c>
      <c r="D10" s="66"/>
      <c r="E10" s="68" t="s">
        <v>504</v>
      </c>
      <c r="F10" s="68" t="str">
        <f>'Stavební rozpočet'!I8</f>
        <v>Kamila Možná</v>
      </c>
      <c r="G10" s="66"/>
      <c r="H10" s="69" t="s">
        <v>607</v>
      </c>
      <c r="I10" s="109" t="str">
        <f>'Stavební rozpočet'!F8</f>
        <v>27.11.2020</v>
      </c>
      <c r="J10" s="5"/>
    </row>
    <row r="11" spans="1:10" x14ac:dyDescent="0.25">
      <c r="A11" s="111"/>
      <c r="B11" s="112"/>
      <c r="C11" s="112"/>
      <c r="D11" s="112"/>
      <c r="E11" s="112"/>
      <c r="F11" s="112"/>
      <c r="G11" s="112"/>
      <c r="H11" s="112"/>
      <c r="I11" s="110"/>
      <c r="J11" s="5"/>
    </row>
    <row r="12" spans="1:10" ht="23.4" customHeight="1" x14ac:dyDescent="0.25">
      <c r="A12" s="113" t="s">
        <v>565</v>
      </c>
      <c r="B12" s="114"/>
      <c r="C12" s="114"/>
      <c r="D12" s="114"/>
      <c r="E12" s="114"/>
      <c r="F12" s="114"/>
      <c r="G12" s="114"/>
      <c r="H12" s="114"/>
      <c r="I12" s="114"/>
    </row>
    <row r="13" spans="1:10" ht="26.4" customHeight="1" x14ac:dyDescent="0.25">
      <c r="A13" s="48" t="s">
        <v>566</v>
      </c>
      <c r="B13" s="115" t="s">
        <v>578</v>
      </c>
      <c r="C13" s="116"/>
      <c r="D13" s="48" t="s">
        <v>581</v>
      </c>
      <c r="E13" s="115" t="s">
        <v>590</v>
      </c>
      <c r="F13" s="116"/>
      <c r="G13" s="48" t="s">
        <v>591</v>
      </c>
      <c r="H13" s="115" t="s">
        <v>608</v>
      </c>
      <c r="I13" s="116"/>
      <c r="J13" s="5"/>
    </row>
    <row r="14" spans="1:10" ht="15.15" customHeight="1" x14ac:dyDescent="0.25">
      <c r="A14" s="49" t="s">
        <v>567</v>
      </c>
      <c r="B14" s="53" t="s">
        <v>579</v>
      </c>
      <c r="C14" s="56">
        <f>SUM('Stavební rozpočet'!AB12:AB303)</f>
        <v>0</v>
      </c>
      <c r="D14" s="117" t="s">
        <v>582</v>
      </c>
      <c r="E14" s="118"/>
      <c r="F14" s="56">
        <v>0</v>
      </c>
      <c r="G14" s="117" t="s">
        <v>592</v>
      </c>
      <c r="H14" s="118"/>
      <c r="I14" s="56">
        <v>0</v>
      </c>
      <c r="J14" s="5"/>
    </row>
    <row r="15" spans="1:10" ht="15.15" customHeight="1" x14ac:dyDescent="0.25">
      <c r="A15" s="50"/>
      <c r="B15" s="53" t="s">
        <v>513</v>
      </c>
      <c r="C15" s="56">
        <f>SUM('Stavební rozpočet'!AC12:AC303)</f>
        <v>0</v>
      </c>
      <c r="D15" s="117" t="s">
        <v>583</v>
      </c>
      <c r="E15" s="118"/>
      <c r="F15" s="56">
        <v>0</v>
      </c>
      <c r="G15" s="117" t="s">
        <v>593</v>
      </c>
      <c r="H15" s="118"/>
      <c r="I15" s="56">
        <v>0</v>
      </c>
      <c r="J15" s="5"/>
    </row>
    <row r="16" spans="1:10" ht="15.15" customHeight="1" x14ac:dyDescent="0.25">
      <c r="A16" s="49" t="s">
        <v>568</v>
      </c>
      <c r="B16" s="53" t="s">
        <v>579</v>
      </c>
      <c r="C16" s="56">
        <f>SUM('Stavební rozpočet'!AD12:AD303)</f>
        <v>0</v>
      </c>
      <c r="D16" s="117" t="s">
        <v>584</v>
      </c>
      <c r="E16" s="118"/>
      <c r="F16" s="56">
        <v>0</v>
      </c>
      <c r="G16" s="117" t="s">
        <v>594</v>
      </c>
      <c r="H16" s="118"/>
      <c r="I16" s="56">
        <v>0</v>
      </c>
      <c r="J16" s="5"/>
    </row>
    <row r="17" spans="1:10" ht="15.15" customHeight="1" x14ac:dyDescent="0.25">
      <c r="A17" s="50"/>
      <c r="B17" s="53" t="s">
        <v>513</v>
      </c>
      <c r="C17" s="56">
        <f>SUM('Stavební rozpočet'!AE12:AE303)</f>
        <v>0</v>
      </c>
      <c r="D17" s="117"/>
      <c r="E17" s="118"/>
      <c r="F17" s="57"/>
      <c r="G17" s="117" t="s">
        <v>595</v>
      </c>
      <c r="H17" s="118"/>
      <c r="I17" s="56">
        <v>0</v>
      </c>
      <c r="J17" s="5"/>
    </row>
    <row r="18" spans="1:10" ht="15.15" customHeight="1" x14ac:dyDescent="0.25">
      <c r="A18" s="49" t="s">
        <v>569</v>
      </c>
      <c r="B18" s="53" t="s">
        <v>579</v>
      </c>
      <c r="C18" s="56">
        <f>SUM('Stavební rozpočet'!AF12:AF303)</f>
        <v>0</v>
      </c>
      <c r="D18" s="117"/>
      <c r="E18" s="118"/>
      <c r="F18" s="57"/>
      <c r="G18" s="117" t="s">
        <v>596</v>
      </c>
      <c r="H18" s="118"/>
      <c r="I18" s="56">
        <v>0</v>
      </c>
      <c r="J18" s="5"/>
    </row>
    <row r="19" spans="1:10" ht="15.15" customHeight="1" x14ac:dyDescent="0.25">
      <c r="A19" s="50"/>
      <c r="B19" s="53" t="s">
        <v>513</v>
      </c>
      <c r="C19" s="56">
        <f>SUM('Stavební rozpočet'!AG12:AG303)</f>
        <v>0</v>
      </c>
      <c r="D19" s="117"/>
      <c r="E19" s="118"/>
      <c r="F19" s="57"/>
      <c r="G19" s="117" t="s">
        <v>597</v>
      </c>
      <c r="H19" s="118"/>
      <c r="I19" s="56">
        <v>0</v>
      </c>
      <c r="J19" s="5"/>
    </row>
    <row r="20" spans="1:10" ht="15.15" customHeight="1" x14ac:dyDescent="0.25">
      <c r="A20" s="119" t="s">
        <v>570</v>
      </c>
      <c r="B20" s="120"/>
      <c r="C20" s="56">
        <f>SUM('Stavební rozpočet'!AH12:AH303)</f>
        <v>0</v>
      </c>
      <c r="D20" s="117"/>
      <c r="E20" s="118"/>
      <c r="F20" s="57"/>
      <c r="G20" s="117"/>
      <c r="H20" s="118"/>
      <c r="I20" s="57"/>
      <c r="J20" s="5"/>
    </row>
    <row r="21" spans="1:10" ht="15.15" customHeight="1" x14ac:dyDescent="0.25">
      <c r="A21" s="119" t="s">
        <v>571</v>
      </c>
      <c r="B21" s="120"/>
      <c r="C21" s="56">
        <f>SUM('Stavební rozpočet'!Z12:Z303)</f>
        <v>0</v>
      </c>
      <c r="D21" s="117"/>
      <c r="E21" s="118"/>
      <c r="F21" s="57"/>
      <c r="G21" s="117"/>
      <c r="H21" s="118"/>
      <c r="I21" s="57"/>
      <c r="J21" s="5"/>
    </row>
    <row r="22" spans="1:10" ht="16.649999999999999" customHeight="1" x14ac:dyDescent="0.25">
      <c r="A22" s="119" t="s">
        <v>572</v>
      </c>
      <c r="B22" s="120"/>
      <c r="C22" s="56">
        <f>SUM(C14:C21)</f>
        <v>0</v>
      </c>
      <c r="D22" s="119" t="s">
        <v>585</v>
      </c>
      <c r="E22" s="120"/>
      <c r="F22" s="56">
        <f>SUM(F14:F21)</f>
        <v>0</v>
      </c>
      <c r="G22" s="119" t="s">
        <v>598</v>
      </c>
      <c r="H22" s="120"/>
      <c r="I22" s="56">
        <f>SUM(I14:I21)</f>
        <v>0</v>
      </c>
      <c r="J22" s="5"/>
    </row>
    <row r="23" spans="1:10" ht="15.15" customHeight="1" x14ac:dyDescent="0.25">
      <c r="A23" s="9"/>
      <c r="B23" s="9"/>
      <c r="C23" s="55"/>
      <c r="D23" s="119" t="s">
        <v>586</v>
      </c>
      <c r="E23" s="120"/>
      <c r="F23" s="58">
        <v>0</v>
      </c>
      <c r="G23" s="119" t="s">
        <v>599</v>
      </c>
      <c r="H23" s="120"/>
      <c r="I23" s="56">
        <v>0</v>
      </c>
      <c r="J23" s="5"/>
    </row>
    <row r="24" spans="1:10" ht="15.15" customHeight="1" x14ac:dyDescent="0.25">
      <c r="D24" s="9"/>
      <c r="E24" s="9"/>
      <c r="F24" s="59"/>
      <c r="G24" s="119" t="s">
        <v>600</v>
      </c>
      <c r="H24" s="120"/>
      <c r="I24" s="60"/>
    </row>
    <row r="25" spans="1:10" ht="15.15" customHeight="1" x14ac:dyDescent="0.25">
      <c r="F25" s="34"/>
      <c r="G25" s="119" t="s">
        <v>601</v>
      </c>
      <c r="H25" s="120"/>
      <c r="I25" s="56">
        <v>0</v>
      </c>
      <c r="J25" s="5"/>
    </row>
    <row r="26" spans="1:10" x14ac:dyDescent="0.25">
      <c r="A26" s="17"/>
      <c r="B26" s="17"/>
      <c r="C26" s="17"/>
      <c r="G26" s="9"/>
      <c r="H26" s="9"/>
      <c r="I26" s="9"/>
    </row>
    <row r="27" spans="1:10" ht="15.15" customHeight="1" x14ac:dyDescent="0.25">
      <c r="A27" s="121" t="s">
        <v>573</v>
      </c>
      <c r="B27" s="122"/>
      <c r="C27" s="61">
        <f>SUM('Stavební rozpočet'!AJ12:AJ303)</f>
        <v>0</v>
      </c>
      <c r="D27" s="8"/>
      <c r="E27" s="17"/>
      <c r="F27" s="17"/>
      <c r="G27" s="17"/>
      <c r="H27" s="17"/>
      <c r="I27" s="17"/>
    </row>
    <row r="28" spans="1:10" ht="15.15" customHeight="1" x14ac:dyDescent="0.25">
      <c r="A28" s="121" t="s">
        <v>574</v>
      </c>
      <c r="B28" s="122"/>
      <c r="C28" s="61">
        <f>SUM('Stavební rozpočet'!AK12:AK303)+(F22+I22+F23+I23+I24+I25)</f>
        <v>0</v>
      </c>
      <c r="D28" s="121" t="s">
        <v>587</v>
      </c>
      <c r="E28" s="122"/>
      <c r="F28" s="61">
        <f>ROUND(C28*(15/100),2)</f>
        <v>0</v>
      </c>
      <c r="G28" s="121" t="s">
        <v>602</v>
      </c>
      <c r="H28" s="122"/>
      <c r="I28" s="61">
        <f>SUM(C27:C29)</f>
        <v>0</v>
      </c>
      <c r="J28" s="5"/>
    </row>
    <row r="29" spans="1:10" ht="15.15" customHeight="1" x14ac:dyDescent="0.25">
      <c r="A29" s="121" t="s">
        <v>575</v>
      </c>
      <c r="B29" s="122"/>
      <c r="C29" s="61">
        <f>SUM('Stavební rozpočet'!AL12:AL303)</f>
        <v>0</v>
      </c>
      <c r="D29" s="121" t="s">
        <v>588</v>
      </c>
      <c r="E29" s="122"/>
      <c r="F29" s="61">
        <f>ROUND(C29*(21/100),2)</f>
        <v>0</v>
      </c>
      <c r="G29" s="121" t="s">
        <v>603</v>
      </c>
      <c r="H29" s="122"/>
      <c r="I29" s="61">
        <f>SUM(F28:F29)+I28</f>
        <v>0</v>
      </c>
      <c r="J29" s="5"/>
    </row>
    <row r="30" spans="1:10" x14ac:dyDescent="0.25">
      <c r="A30" s="51"/>
      <c r="B30" s="51"/>
      <c r="C30" s="51"/>
      <c r="D30" s="51"/>
      <c r="E30" s="51"/>
      <c r="F30" s="51"/>
      <c r="G30" s="51"/>
      <c r="H30" s="51"/>
      <c r="I30" s="51"/>
    </row>
    <row r="31" spans="1:10" ht="14.4" customHeight="1" x14ac:dyDescent="0.25">
      <c r="A31" s="123" t="s">
        <v>576</v>
      </c>
      <c r="B31" s="124"/>
      <c r="C31" s="125"/>
      <c r="D31" s="123" t="s">
        <v>589</v>
      </c>
      <c r="E31" s="124"/>
      <c r="F31" s="125"/>
      <c r="G31" s="123" t="s">
        <v>604</v>
      </c>
      <c r="H31" s="124"/>
      <c r="I31" s="125"/>
      <c r="J31" s="38"/>
    </row>
    <row r="32" spans="1:10" ht="14.4" customHeight="1" x14ac:dyDescent="0.25">
      <c r="A32" s="126"/>
      <c r="B32" s="127"/>
      <c r="C32" s="128"/>
      <c r="D32" s="126"/>
      <c r="E32" s="127"/>
      <c r="F32" s="128"/>
      <c r="G32" s="126"/>
      <c r="H32" s="127"/>
      <c r="I32" s="128"/>
      <c r="J32" s="38"/>
    </row>
    <row r="33" spans="1:10" ht="14.4" customHeight="1" x14ac:dyDescent="0.25">
      <c r="A33" s="126"/>
      <c r="B33" s="127"/>
      <c r="C33" s="128"/>
      <c r="D33" s="126"/>
      <c r="E33" s="127"/>
      <c r="F33" s="128"/>
      <c r="G33" s="126"/>
      <c r="H33" s="127"/>
      <c r="I33" s="128"/>
      <c r="J33" s="38"/>
    </row>
    <row r="34" spans="1:10" ht="14.4" customHeight="1" x14ac:dyDescent="0.25">
      <c r="A34" s="126"/>
      <c r="B34" s="127"/>
      <c r="C34" s="128"/>
      <c r="D34" s="126"/>
      <c r="E34" s="127"/>
      <c r="F34" s="128"/>
      <c r="G34" s="126"/>
      <c r="H34" s="127"/>
      <c r="I34" s="128"/>
      <c r="J34" s="38"/>
    </row>
    <row r="35" spans="1:10" ht="14.4" customHeight="1" x14ac:dyDescent="0.25">
      <c r="A35" s="129" t="s">
        <v>577</v>
      </c>
      <c r="B35" s="130"/>
      <c r="C35" s="131"/>
      <c r="D35" s="129" t="s">
        <v>577</v>
      </c>
      <c r="E35" s="130"/>
      <c r="F35" s="131"/>
      <c r="G35" s="129" t="s">
        <v>577</v>
      </c>
      <c r="H35" s="130"/>
      <c r="I35" s="131"/>
      <c r="J35" s="38"/>
    </row>
    <row r="36" spans="1:10" ht="11.25" customHeight="1" x14ac:dyDescent="0.25">
      <c r="A36" s="52" t="s">
        <v>101</v>
      </c>
      <c r="B36" s="54"/>
      <c r="C36" s="54"/>
      <c r="D36" s="54"/>
      <c r="E36" s="54"/>
      <c r="F36" s="54"/>
      <c r="G36" s="54"/>
      <c r="H36" s="54"/>
      <c r="I36" s="54"/>
    </row>
    <row r="37" spans="1:10" x14ac:dyDescent="0.25">
      <c r="A37" s="68"/>
      <c r="B37" s="66"/>
      <c r="C37" s="66"/>
      <c r="D37" s="66"/>
      <c r="E37" s="66"/>
      <c r="F37" s="66"/>
      <c r="G37" s="66"/>
      <c r="H37" s="66"/>
      <c r="I37" s="66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Michal Hrib</cp:lastModifiedBy>
  <dcterms:created xsi:type="dcterms:W3CDTF">2020-11-27T14:53:10Z</dcterms:created>
  <dcterms:modified xsi:type="dcterms:W3CDTF">2021-12-10T12:13:54Z</dcterms:modified>
</cp:coreProperties>
</file>